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685" windowHeight="8205" tabRatio="819"/>
  </bookViews>
  <sheets>
    <sheet name="2023 до июля" sheetId="44" r:id="rId1"/>
    <sheet name="2022 год" sheetId="43" r:id="rId2"/>
  </sheets>
  <definedNames>
    <definedName name="_xlnm._FilterDatabase" localSheetId="1" hidden="1">'2022 год'!$A$9:$AH$960</definedName>
    <definedName name="_xlnm._FilterDatabase" localSheetId="0" hidden="1">'2023 до июля'!$A$8:$V$610</definedName>
    <definedName name="Excel_BuiltIn__FilterDatabase_3">#REF!</definedName>
    <definedName name="Excel_BuiltIn__FilterDatabase_4">#REF!</definedName>
    <definedName name="Excel_BuiltIn__FilterDatabase_5">#REF!</definedName>
    <definedName name="Excel_BuiltIn__FilterDatabase_6">#REF!</definedName>
    <definedName name="_xlnm.Print_Titles" localSheetId="1">'2022 год'!$8:$8</definedName>
    <definedName name="_xlnm.Print_Titles" localSheetId="0">'2023 до июля'!$8:$8</definedName>
  </definedNames>
  <calcPr calcId="145621"/>
</workbook>
</file>

<file path=xl/calcChain.xml><?xml version="1.0" encoding="utf-8"?>
<calcChain xmlns="http://schemas.openxmlformats.org/spreadsheetml/2006/main">
  <c r="E12" i="44" l="1"/>
  <c r="I12" i="44"/>
  <c r="E13" i="44"/>
  <c r="I13" i="44"/>
  <c r="E14" i="44"/>
  <c r="I14" i="44"/>
  <c r="E15" i="44"/>
  <c r="I15" i="44"/>
  <c r="E16" i="44"/>
  <c r="I16" i="44"/>
  <c r="E17" i="44"/>
  <c r="I17" i="44"/>
  <c r="E18" i="44"/>
  <c r="I18" i="44"/>
  <c r="C19" i="44"/>
  <c r="E19" i="44" s="1"/>
  <c r="I19" i="44"/>
  <c r="E20" i="44"/>
  <c r="I20" i="44"/>
  <c r="E21" i="44"/>
  <c r="I21" i="44"/>
  <c r="E22" i="44"/>
  <c r="I22" i="44"/>
  <c r="E23" i="44"/>
  <c r="I23" i="44"/>
  <c r="C25" i="44"/>
  <c r="E25" i="44" s="1"/>
  <c r="I25" i="44"/>
  <c r="C26" i="44"/>
  <c r="E26" i="44" s="1"/>
  <c r="I26" i="44"/>
  <c r="C27" i="44"/>
  <c r="E27" i="44" s="1"/>
  <c r="J27" i="44" s="1"/>
  <c r="K27" i="44" s="1"/>
  <c r="L27" i="44" s="1"/>
  <c r="I27" i="44"/>
  <c r="C28" i="44"/>
  <c r="E28" i="44" s="1"/>
  <c r="I28" i="44"/>
  <c r="C29" i="44"/>
  <c r="E29" i="44" s="1"/>
  <c r="J29" i="44" s="1"/>
  <c r="K29" i="44" s="1"/>
  <c r="L29" i="44" s="1"/>
  <c r="I29" i="44"/>
  <c r="E30" i="44"/>
  <c r="I30" i="44"/>
  <c r="E31" i="44"/>
  <c r="I31" i="44"/>
  <c r="C33" i="44"/>
  <c r="E33" i="44" s="1"/>
  <c r="I33" i="44"/>
  <c r="C34" i="44"/>
  <c r="E34" i="44" s="1"/>
  <c r="I34" i="44"/>
  <c r="C36" i="44"/>
  <c r="E36" i="44" s="1"/>
  <c r="I36" i="44"/>
  <c r="C37" i="44"/>
  <c r="E37" i="44" s="1"/>
  <c r="I37" i="44"/>
  <c r="C38" i="44"/>
  <c r="E38" i="44" s="1"/>
  <c r="I38" i="44"/>
  <c r="C39" i="44"/>
  <c r="E39" i="44" s="1"/>
  <c r="I39" i="44"/>
  <c r="E40" i="44"/>
  <c r="I40" i="44"/>
  <c r="C41" i="44"/>
  <c r="E41" i="44" s="1"/>
  <c r="I41" i="44"/>
  <c r="C42" i="44"/>
  <c r="E42" i="44" s="1"/>
  <c r="I42" i="44"/>
  <c r="C43" i="44"/>
  <c r="E43" i="44" s="1"/>
  <c r="I43" i="44"/>
  <c r="E44" i="44"/>
  <c r="I44" i="44"/>
  <c r="C45" i="44"/>
  <c r="E45" i="44" s="1"/>
  <c r="I45" i="44"/>
  <c r="C46" i="44"/>
  <c r="E46" i="44" s="1"/>
  <c r="I46" i="44"/>
  <c r="E47" i="44"/>
  <c r="I47" i="44"/>
  <c r="E48" i="44"/>
  <c r="I48" i="44"/>
  <c r="E49" i="44"/>
  <c r="I49" i="44"/>
  <c r="E50" i="44"/>
  <c r="I50" i="44"/>
  <c r="E51" i="44"/>
  <c r="I51" i="44"/>
  <c r="E52" i="44"/>
  <c r="I52" i="44"/>
  <c r="E54" i="44"/>
  <c r="I54" i="44"/>
  <c r="E56" i="44"/>
  <c r="I56" i="44"/>
  <c r="E57" i="44"/>
  <c r="I57" i="44"/>
  <c r="E58" i="44"/>
  <c r="I58" i="44"/>
  <c r="E59" i="44"/>
  <c r="I59" i="44"/>
  <c r="E60" i="44"/>
  <c r="I60" i="44"/>
  <c r="E61" i="44"/>
  <c r="I61" i="44"/>
  <c r="E62" i="44"/>
  <c r="I62" i="44"/>
  <c r="E63" i="44"/>
  <c r="I63" i="44"/>
  <c r="E64" i="44"/>
  <c r="I64" i="44"/>
  <c r="C65" i="44"/>
  <c r="E65" i="44" s="1"/>
  <c r="I65" i="44"/>
  <c r="E66" i="44"/>
  <c r="I66" i="44"/>
  <c r="E67" i="44"/>
  <c r="I67" i="44"/>
  <c r="E68" i="44"/>
  <c r="I68" i="44"/>
  <c r="E69" i="44"/>
  <c r="I69" i="44"/>
  <c r="E70" i="44"/>
  <c r="I70" i="44"/>
  <c r="E71" i="44"/>
  <c r="I71" i="44"/>
  <c r="E72" i="44"/>
  <c r="I72" i="44"/>
  <c r="C73" i="44"/>
  <c r="E73" i="44" s="1"/>
  <c r="I73" i="44"/>
  <c r="E74" i="44"/>
  <c r="I74" i="44"/>
  <c r="E75" i="44"/>
  <c r="I75" i="44"/>
  <c r="E76" i="44"/>
  <c r="I76" i="44"/>
  <c r="E80" i="44"/>
  <c r="I80" i="44"/>
  <c r="E81" i="44"/>
  <c r="I81" i="44"/>
  <c r="E82" i="44"/>
  <c r="I82" i="44"/>
  <c r="E83" i="44"/>
  <c r="I83" i="44"/>
  <c r="E85" i="44"/>
  <c r="I85" i="44"/>
  <c r="E86" i="44"/>
  <c r="I86" i="44"/>
  <c r="E88" i="44"/>
  <c r="I88" i="44"/>
  <c r="E89" i="44"/>
  <c r="I89" i="44"/>
  <c r="E90" i="44"/>
  <c r="I90" i="44"/>
  <c r="E91" i="44"/>
  <c r="I91" i="44"/>
  <c r="E92" i="44"/>
  <c r="I92" i="44"/>
  <c r="E93" i="44"/>
  <c r="I93" i="44"/>
  <c r="E94" i="44"/>
  <c r="I94" i="44"/>
  <c r="E97" i="44"/>
  <c r="I97" i="44"/>
  <c r="E98" i="44"/>
  <c r="I98" i="44"/>
  <c r="E99" i="44"/>
  <c r="I99" i="44"/>
  <c r="E100" i="44"/>
  <c r="I100" i="44"/>
  <c r="E102" i="44"/>
  <c r="I102" i="44"/>
  <c r="E103" i="44"/>
  <c r="I103" i="44"/>
  <c r="E105" i="44"/>
  <c r="I105" i="44"/>
  <c r="E106" i="44"/>
  <c r="I106" i="44"/>
  <c r="E107" i="44"/>
  <c r="I107" i="44"/>
  <c r="E108" i="44"/>
  <c r="I108" i="44"/>
  <c r="E109" i="44"/>
  <c r="I109" i="44"/>
  <c r="E110" i="44"/>
  <c r="I110" i="44"/>
  <c r="E111" i="44"/>
  <c r="I111" i="44"/>
  <c r="E114" i="44"/>
  <c r="I114" i="44"/>
  <c r="E115" i="44"/>
  <c r="I115" i="44"/>
  <c r="E116" i="44"/>
  <c r="I116" i="44"/>
  <c r="E117" i="44"/>
  <c r="I117" i="44"/>
  <c r="E119" i="44"/>
  <c r="I119" i="44"/>
  <c r="E120" i="44"/>
  <c r="I120" i="44"/>
  <c r="E122" i="44"/>
  <c r="I122" i="44"/>
  <c r="E123" i="44"/>
  <c r="I123" i="44"/>
  <c r="E124" i="44"/>
  <c r="I124" i="44"/>
  <c r="E125" i="44"/>
  <c r="I125" i="44"/>
  <c r="E126" i="44"/>
  <c r="I126" i="44"/>
  <c r="E127" i="44"/>
  <c r="I127" i="44"/>
  <c r="E128" i="44"/>
  <c r="I128" i="44"/>
  <c r="E131" i="44"/>
  <c r="I131" i="44"/>
  <c r="E132" i="44"/>
  <c r="I132" i="44"/>
  <c r="E133" i="44"/>
  <c r="I133" i="44"/>
  <c r="E134" i="44"/>
  <c r="I134" i="44"/>
  <c r="E136" i="44"/>
  <c r="I136" i="44"/>
  <c r="E137" i="44"/>
  <c r="I137" i="44"/>
  <c r="E139" i="44"/>
  <c r="I139" i="44"/>
  <c r="E140" i="44"/>
  <c r="I140" i="44"/>
  <c r="E141" i="44"/>
  <c r="I141" i="44"/>
  <c r="E142" i="44"/>
  <c r="I142" i="44"/>
  <c r="E143" i="44"/>
  <c r="I143" i="44"/>
  <c r="E144" i="44"/>
  <c r="I144" i="44"/>
  <c r="E145" i="44"/>
  <c r="I145" i="44"/>
  <c r="E148" i="44"/>
  <c r="I148" i="44"/>
  <c r="E149" i="44"/>
  <c r="I149" i="44"/>
  <c r="E150" i="44"/>
  <c r="I150" i="44"/>
  <c r="E151" i="44"/>
  <c r="I151" i="44"/>
  <c r="E153" i="44"/>
  <c r="I153" i="44"/>
  <c r="J153" i="44" s="1"/>
  <c r="K153" i="44" s="1"/>
  <c r="L153" i="44" s="1"/>
  <c r="E154" i="44"/>
  <c r="I154" i="44"/>
  <c r="E156" i="44"/>
  <c r="I156" i="44"/>
  <c r="J156" i="44" s="1"/>
  <c r="K156" i="44" s="1"/>
  <c r="L156" i="44" s="1"/>
  <c r="E157" i="44"/>
  <c r="I157" i="44"/>
  <c r="E158" i="44"/>
  <c r="I158" i="44"/>
  <c r="J158" i="44" s="1"/>
  <c r="K158" i="44" s="1"/>
  <c r="L158" i="44" s="1"/>
  <c r="E159" i="44"/>
  <c r="I159" i="44"/>
  <c r="E160" i="44"/>
  <c r="I160" i="44"/>
  <c r="J160" i="44" s="1"/>
  <c r="K160" i="44" s="1"/>
  <c r="L160" i="44" s="1"/>
  <c r="E161" i="44"/>
  <c r="I161" i="44"/>
  <c r="E162" i="44"/>
  <c r="I162" i="44"/>
  <c r="J162" i="44" s="1"/>
  <c r="K162" i="44" s="1"/>
  <c r="L162" i="44" s="1"/>
  <c r="E165" i="44"/>
  <c r="I165" i="44"/>
  <c r="E166" i="44"/>
  <c r="I166" i="44"/>
  <c r="J166" i="44" s="1"/>
  <c r="K166" i="44" s="1"/>
  <c r="L166" i="44" s="1"/>
  <c r="E167" i="44"/>
  <c r="I167" i="44"/>
  <c r="E168" i="44"/>
  <c r="I168" i="44"/>
  <c r="J168" i="44" s="1"/>
  <c r="K168" i="44" s="1"/>
  <c r="L168" i="44" s="1"/>
  <c r="E170" i="44"/>
  <c r="I170" i="44"/>
  <c r="E171" i="44"/>
  <c r="I171" i="44"/>
  <c r="J171" i="44" s="1"/>
  <c r="K171" i="44" s="1"/>
  <c r="L171" i="44" s="1"/>
  <c r="E173" i="44"/>
  <c r="H173" i="44"/>
  <c r="I173" i="44" s="1"/>
  <c r="E174" i="44"/>
  <c r="I174" i="44"/>
  <c r="E175" i="44"/>
  <c r="I175" i="44"/>
  <c r="E176" i="44"/>
  <c r="I176" i="44"/>
  <c r="E177" i="44"/>
  <c r="I177" i="44"/>
  <c r="E178" i="44"/>
  <c r="I178" i="44"/>
  <c r="E179" i="44"/>
  <c r="I179" i="44"/>
  <c r="E182" i="44"/>
  <c r="I182" i="44"/>
  <c r="E183" i="44"/>
  <c r="I183" i="44"/>
  <c r="E184" i="44"/>
  <c r="I184" i="44"/>
  <c r="C185" i="44"/>
  <c r="E185" i="44" s="1"/>
  <c r="I185" i="44"/>
  <c r="E187" i="44"/>
  <c r="I187" i="44"/>
  <c r="J187" i="44" s="1"/>
  <c r="K187" i="44" s="1"/>
  <c r="L187" i="44" s="1"/>
  <c r="E188" i="44"/>
  <c r="I188" i="44"/>
  <c r="E190" i="44"/>
  <c r="I190" i="44"/>
  <c r="J190" i="44" s="1"/>
  <c r="K190" i="44" s="1"/>
  <c r="L190" i="44" s="1"/>
  <c r="E191" i="44"/>
  <c r="I191" i="44"/>
  <c r="E192" i="44"/>
  <c r="I192" i="44"/>
  <c r="J192" i="44" s="1"/>
  <c r="K192" i="44" s="1"/>
  <c r="L192" i="44" s="1"/>
  <c r="E193" i="44"/>
  <c r="I193" i="44"/>
  <c r="E194" i="44"/>
  <c r="I194" i="44"/>
  <c r="J194" i="44" s="1"/>
  <c r="K194" i="44" s="1"/>
  <c r="L194" i="44" s="1"/>
  <c r="E195" i="44"/>
  <c r="I195" i="44"/>
  <c r="E196" i="44"/>
  <c r="I196" i="44"/>
  <c r="J196" i="44" s="1"/>
  <c r="K196" i="44" s="1"/>
  <c r="L196" i="44" s="1"/>
  <c r="E199" i="44"/>
  <c r="I199" i="44"/>
  <c r="E200" i="44"/>
  <c r="I200" i="44"/>
  <c r="J200" i="44" s="1"/>
  <c r="K200" i="44" s="1"/>
  <c r="L200" i="44" s="1"/>
  <c r="E201" i="44"/>
  <c r="I201" i="44"/>
  <c r="E202" i="44"/>
  <c r="I202" i="44"/>
  <c r="J202" i="44" s="1"/>
  <c r="K202" i="44" s="1"/>
  <c r="L202" i="44" s="1"/>
  <c r="E203" i="44"/>
  <c r="I203" i="44"/>
  <c r="E204" i="44"/>
  <c r="I204" i="44"/>
  <c r="E205" i="44"/>
  <c r="I205" i="44"/>
  <c r="E206" i="44"/>
  <c r="I206" i="44"/>
  <c r="E207" i="44"/>
  <c r="I207" i="44"/>
  <c r="J207" i="44" s="1"/>
  <c r="K207" i="44" s="1"/>
  <c r="E208" i="44"/>
  <c r="I208" i="44"/>
  <c r="E209" i="44"/>
  <c r="I209" i="44"/>
  <c r="J209" i="44" s="1"/>
  <c r="E210" i="44"/>
  <c r="I210" i="44"/>
  <c r="E212" i="44"/>
  <c r="I212" i="44"/>
  <c r="J212" i="44" s="1"/>
  <c r="K212" i="44" s="1"/>
  <c r="C213" i="44"/>
  <c r="E213" i="44" s="1"/>
  <c r="I213" i="44"/>
  <c r="C214" i="44"/>
  <c r="E214" i="44" s="1"/>
  <c r="I214" i="44"/>
  <c r="E215" i="44"/>
  <c r="I215" i="44"/>
  <c r="E216" i="44"/>
  <c r="I216" i="44"/>
  <c r="C217" i="44"/>
  <c r="E217" i="44" s="1"/>
  <c r="I217" i="44"/>
  <c r="E218" i="44"/>
  <c r="I218" i="44"/>
  <c r="E219" i="44"/>
  <c r="I219" i="44"/>
  <c r="C220" i="44"/>
  <c r="E220" i="44" s="1"/>
  <c r="I220" i="44"/>
  <c r="J220" i="44" s="1"/>
  <c r="E221" i="44"/>
  <c r="I221" i="44"/>
  <c r="I222" i="44"/>
  <c r="C223" i="44"/>
  <c r="E223" i="44" s="1"/>
  <c r="I223" i="44"/>
  <c r="E229" i="44"/>
  <c r="I229" i="44"/>
  <c r="E230" i="44"/>
  <c r="I230" i="44"/>
  <c r="E231" i="44"/>
  <c r="I231" i="44"/>
  <c r="E232" i="44"/>
  <c r="I232" i="44"/>
  <c r="E233" i="44"/>
  <c r="I233" i="44"/>
  <c r="E234" i="44"/>
  <c r="I234" i="44"/>
  <c r="E235" i="44"/>
  <c r="I235" i="44"/>
  <c r="C236" i="44"/>
  <c r="E236" i="44" s="1"/>
  <c r="J236" i="44" s="1"/>
  <c r="K236" i="44" s="1"/>
  <c r="I236" i="44"/>
  <c r="E237" i="44"/>
  <c r="I237" i="44"/>
  <c r="E238" i="44"/>
  <c r="J238" i="44" s="1"/>
  <c r="K238" i="44" s="1"/>
  <c r="I238" i="44"/>
  <c r="E239" i="44"/>
  <c r="I239" i="44"/>
  <c r="E240" i="44"/>
  <c r="I240" i="44"/>
  <c r="C242" i="44"/>
  <c r="E242" i="44" s="1"/>
  <c r="I242" i="44"/>
  <c r="C243" i="44"/>
  <c r="E243" i="44" s="1"/>
  <c r="I243" i="44"/>
  <c r="C244" i="44"/>
  <c r="E244" i="44" s="1"/>
  <c r="I244" i="44"/>
  <c r="C245" i="44"/>
  <c r="E245" i="44" s="1"/>
  <c r="I245" i="44"/>
  <c r="E246" i="44"/>
  <c r="I246" i="44"/>
  <c r="C247" i="44"/>
  <c r="E247" i="44" s="1"/>
  <c r="I247" i="44"/>
  <c r="E248" i="44"/>
  <c r="I248" i="44"/>
  <c r="C250" i="44"/>
  <c r="E250" i="44" s="1"/>
  <c r="I250" i="44"/>
  <c r="C251" i="44"/>
  <c r="E251" i="44" s="1"/>
  <c r="I251" i="44"/>
  <c r="C253" i="44"/>
  <c r="E253" i="44" s="1"/>
  <c r="I253" i="44"/>
  <c r="C254" i="44"/>
  <c r="E254" i="44" s="1"/>
  <c r="I254" i="44"/>
  <c r="C255" i="44"/>
  <c r="E255" i="44" s="1"/>
  <c r="I255" i="44"/>
  <c r="C256" i="44"/>
  <c r="E256" i="44" s="1"/>
  <c r="I256" i="44"/>
  <c r="E257" i="44"/>
  <c r="I257" i="44"/>
  <c r="C258" i="44"/>
  <c r="E258" i="44" s="1"/>
  <c r="I258" i="44"/>
  <c r="C259" i="44"/>
  <c r="E259" i="44" s="1"/>
  <c r="I259" i="44"/>
  <c r="C260" i="44"/>
  <c r="E260" i="44" s="1"/>
  <c r="I260" i="44"/>
  <c r="E261" i="44"/>
  <c r="I261" i="44"/>
  <c r="C262" i="44"/>
  <c r="E262" i="44" s="1"/>
  <c r="I262" i="44"/>
  <c r="C263" i="44"/>
  <c r="E263" i="44" s="1"/>
  <c r="I263" i="44"/>
  <c r="E264" i="44"/>
  <c r="I264" i="44"/>
  <c r="E265" i="44"/>
  <c r="I265" i="44"/>
  <c r="E266" i="44"/>
  <c r="I266" i="44"/>
  <c r="E267" i="44"/>
  <c r="I267" i="44"/>
  <c r="E268" i="44"/>
  <c r="I268" i="44"/>
  <c r="E269" i="44"/>
  <c r="J269" i="44" s="1"/>
  <c r="K269" i="44" s="1"/>
  <c r="L269" i="44" s="1"/>
  <c r="I269" i="44"/>
  <c r="E271" i="44"/>
  <c r="I271" i="44"/>
  <c r="E273" i="44"/>
  <c r="I273" i="44"/>
  <c r="E274" i="44"/>
  <c r="I274" i="44"/>
  <c r="E275" i="44"/>
  <c r="I275" i="44"/>
  <c r="E276" i="44"/>
  <c r="I276" i="44"/>
  <c r="E277" i="44"/>
  <c r="I277" i="44"/>
  <c r="E278" i="44"/>
  <c r="I278" i="44"/>
  <c r="E279" i="44"/>
  <c r="J279" i="44" s="1"/>
  <c r="I279" i="44"/>
  <c r="E280" i="44"/>
  <c r="I280" i="44"/>
  <c r="E281" i="44"/>
  <c r="I281" i="44"/>
  <c r="C282" i="44"/>
  <c r="E282" i="44" s="1"/>
  <c r="I282" i="44"/>
  <c r="E283" i="44"/>
  <c r="I283" i="44"/>
  <c r="E284" i="44"/>
  <c r="I284" i="44"/>
  <c r="E285" i="44"/>
  <c r="I285" i="44"/>
  <c r="E286" i="44"/>
  <c r="I286" i="44"/>
  <c r="E287" i="44"/>
  <c r="I287" i="44"/>
  <c r="E288" i="44"/>
  <c r="I288" i="44"/>
  <c r="E289" i="44"/>
  <c r="I289" i="44"/>
  <c r="C290" i="44"/>
  <c r="E290" i="44" s="1"/>
  <c r="I290" i="44"/>
  <c r="E291" i="44"/>
  <c r="I291" i="44"/>
  <c r="E292" i="44"/>
  <c r="I292" i="44"/>
  <c r="E293" i="44"/>
  <c r="I293" i="44"/>
  <c r="E297" i="44"/>
  <c r="I297" i="44"/>
  <c r="E298" i="44"/>
  <c r="I298" i="44"/>
  <c r="E299" i="44"/>
  <c r="I299" i="44"/>
  <c r="C300" i="44"/>
  <c r="E300" i="44" s="1"/>
  <c r="I300" i="44"/>
  <c r="E302" i="44"/>
  <c r="I302" i="44"/>
  <c r="E303" i="44"/>
  <c r="I303" i="44"/>
  <c r="E305" i="44"/>
  <c r="I305" i="44"/>
  <c r="E306" i="44"/>
  <c r="I306" i="44"/>
  <c r="E307" i="44"/>
  <c r="I307" i="44"/>
  <c r="I308" i="44"/>
  <c r="J308" i="44" s="1"/>
  <c r="K308" i="44" s="1"/>
  <c r="I309" i="44"/>
  <c r="J309" i="44" s="1"/>
  <c r="K309" i="44" s="1"/>
  <c r="E310" i="44"/>
  <c r="I310" i="44"/>
  <c r="E311" i="44"/>
  <c r="G311" i="44"/>
  <c r="I311" i="44" s="1"/>
  <c r="E314" i="44"/>
  <c r="I314" i="44"/>
  <c r="E315" i="44"/>
  <c r="I315" i="44"/>
  <c r="E316" i="44"/>
  <c r="I316" i="44"/>
  <c r="E317" i="44"/>
  <c r="I317" i="44"/>
  <c r="E318" i="44"/>
  <c r="I318" i="44"/>
  <c r="E320" i="44"/>
  <c r="I320" i="44"/>
  <c r="E321" i="44"/>
  <c r="I321" i="44"/>
  <c r="I324" i="44"/>
  <c r="J324" i="44" s="1"/>
  <c r="K324" i="44" s="1"/>
  <c r="I325" i="44"/>
  <c r="J325" i="44" s="1"/>
  <c r="K325" i="44" s="1"/>
  <c r="I326" i="44"/>
  <c r="J326" i="44" s="1"/>
  <c r="K326" i="44" s="1"/>
  <c r="I327" i="44"/>
  <c r="J327" i="44" s="1"/>
  <c r="K327" i="44" s="1"/>
  <c r="I328" i="44"/>
  <c r="J328" i="44" s="1"/>
  <c r="K328" i="44" s="1"/>
  <c r="I329" i="44"/>
  <c r="J329" i="44" s="1"/>
  <c r="K329" i="44" s="1"/>
  <c r="I331" i="44"/>
  <c r="J331" i="44" s="1"/>
  <c r="K331" i="44" s="1"/>
  <c r="I332" i="44"/>
  <c r="J332" i="44" s="1"/>
  <c r="K332" i="44" s="1"/>
  <c r="I333" i="44"/>
  <c r="J333" i="44" s="1"/>
  <c r="K333" i="44" s="1"/>
  <c r="I334" i="44"/>
  <c r="J334" i="44" s="1"/>
  <c r="K334" i="44" s="1"/>
  <c r="I335" i="44"/>
  <c r="J335" i="44" s="1"/>
  <c r="K335" i="44" s="1"/>
  <c r="I336" i="44"/>
  <c r="J336" i="44" s="1"/>
  <c r="K336" i="44" s="1"/>
  <c r="I337" i="44"/>
  <c r="J337" i="44" s="1"/>
  <c r="K337" i="44" s="1"/>
  <c r="I338" i="44"/>
  <c r="J338" i="44" s="1"/>
  <c r="K338" i="44" s="1"/>
  <c r="I339" i="44"/>
  <c r="J339" i="44" s="1"/>
  <c r="I340" i="44"/>
  <c r="J340" i="44" s="1"/>
  <c r="I341" i="44"/>
  <c r="J341" i="44" s="1"/>
  <c r="I342" i="44"/>
  <c r="J342" i="44" s="1"/>
  <c r="K342" i="44" s="1"/>
  <c r="L342" i="44" s="1"/>
  <c r="I343" i="44"/>
  <c r="J343" i="44" s="1"/>
  <c r="I344" i="44"/>
  <c r="J344" i="44" s="1"/>
  <c r="I345" i="44"/>
  <c r="J345" i="44" s="1"/>
  <c r="I346" i="44"/>
  <c r="J346" i="44" s="1"/>
  <c r="I347" i="44"/>
  <c r="J347" i="44" s="1"/>
  <c r="K347" i="44" s="1"/>
  <c r="I348" i="44"/>
  <c r="J348" i="44" s="1"/>
  <c r="I349" i="44"/>
  <c r="J349" i="44" s="1"/>
  <c r="I350" i="44"/>
  <c r="J350" i="44" s="1"/>
  <c r="K350" i="44" s="1"/>
  <c r="L350" i="44" s="1"/>
  <c r="I351" i="44"/>
  <c r="J351" i="44" s="1"/>
  <c r="K351" i="44" s="1"/>
  <c r="I352" i="44"/>
  <c r="J352" i="44" s="1"/>
  <c r="I353" i="44"/>
  <c r="J353" i="44" s="1"/>
  <c r="I354" i="44"/>
  <c r="J354" i="44" s="1"/>
  <c r="I355" i="44"/>
  <c r="J355" i="44" s="1"/>
  <c r="K355" i="44" s="1"/>
  <c r="I356" i="44"/>
  <c r="J356" i="44" s="1"/>
  <c r="I357" i="44"/>
  <c r="J357" i="44" s="1"/>
  <c r="I358" i="44"/>
  <c r="J358" i="44" s="1"/>
  <c r="K358" i="44" s="1"/>
  <c r="L358" i="44" s="1"/>
  <c r="I359" i="44"/>
  <c r="J359" i="44" s="1"/>
  <c r="I360" i="44"/>
  <c r="J360" i="44" s="1"/>
  <c r="E362" i="44"/>
  <c r="G362" i="44"/>
  <c r="I362" i="44" s="1"/>
  <c r="C363" i="44"/>
  <c r="E363" i="44" s="1"/>
  <c r="G363" i="44"/>
  <c r="I363" i="44" s="1"/>
  <c r="C364" i="44"/>
  <c r="E364" i="44" s="1"/>
  <c r="G364" i="44"/>
  <c r="I364" i="44" s="1"/>
  <c r="E365" i="44"/>
  <c r="G365" i="44"/>
  <c r="I365" i="44" s="1"/>
  <c r="G366" i="44"/>
  <c r="I366" i="44" s="1"/>
  <c r="C367" i="44"/>
  <c r="E367" i="44" s="1"/>
  <c r="G367" i="44"/>
  <c r="I367" i="44" s="1"/>
  <c r="E368" i="44"/>
  <c r="G368" i="44"/>
  <c r="I368" i="44" s="1"/>
  <c r="G369" i="44"/>
  <c r="I369" i="44" s="1"/>
  <c r="C370" i="44"/>
  <c r="E370" i="44" s="1"/>
  <c r="G370" i="44"/>
  <c r="I370" i="44" s="1"/>
  <c r="E371" i="44"/>
  <c r="G371" i="44"/>
  <c r="I371" i="44" s="1"/>
  <c r="G372" i="44"/>
  <c r="I372" i="44" s="1"/>
  <c r="C373" i="44"/>
  <c r="E373" i="44" s="1"/>
  <c r="G373" i="44"/>
  <c r="I373" i="44" s="1"/>
  <c r="E379" i="44"/>
  <c r="I379" i="44"/>
  <c r="E380" i="44"/>
  <c r="I380" i="44"/>
  <c r="E381" i="44"/>
  <c r="I381" i="44"/>
  <c r="E382" i="44"/>
  <c r="I382" i="44"/>
  <c r="E383" i="44"/>
  <c r="I383" i="44"/>
  <c r="E384" i="44"/>
  <c r="I384" i="44"/>
  <c r="E385" i="44"/>
  <c r="I385" i="44"/>
  <c r="C386" i="44"/>
  <c r="E386" i="44" s="1"/>
  <c r="I386" i="44"/>
  <c r="E387" i="44"/>
  <c r="I387" i="44"/>
  <c r="E388" i="44"/>
  <c r="I388" i="44"/>
  <c r="E389" i="44"/>
  <c r="I389" i="44"/>
  <c r="E390" i="44"/>
  <c r="I390" i="44"/>
  <c r="C392" i="44"/>
  <c r="E392" i="44" s="1"/>
  <c r="I392" i="44"/>
  <c r="C393" i="44"/>
  <c r="E393" i="44" s="1"/>
  <c r="I393" i="44"/>
  <c r="C394" i="44"/>
  <c r="E394" i="44" s="1"/>
  <c r="I394" i="44"/>
  <c r="C395" i="44"/>
  <c r="E395" i="44" s="1"/>
  <c r="I395" i="44"/>
  <c r="E396" i="44"/>
  <c r="I396" i="44"/>
  <c r="E397" i="44"/>
  <c r="I397" i="44"/>
  <c r="C399" i="44"/>
  <c r="E399" i="44" s="1"/>
  <c r="I399" i="44"/>
  <c r="C400" i="44"/>
  <c r="E400" i="44" s="1"/>
  <c r="I400" i="44"/>
  <c r="C402" i="44"/>
  <c r="E402" i="44" s="1"/>
  <c r="I402" i="44"/>
  <c r="E403" i="44"/>
  <c r="I403" i="44"/>
  <c r="E404" i="44"/>
  <c r="I404" i="44"/>
  <c r="E405" i="44"/>
  <c r="I405" i="44"/>
  <c r="C406" i="44"/>
  <c r="E406" i="44" s="1"/>
  <c r="I406" i="44"/>
  <c r="E407" i="44"/>
  <c r="I407" i="44"/>
  <c r="C408" i="44"/>
  <c r="E408" i="44" s="1"/>
  <c r="I408" i="44"/>
  <c r="C409" i="44"/>
  <c r="E409" i="44" s="1"/>
  <c r="I409" i="44"/>
  <c r="E410" i="44"/>
  <c r="I410" i="44"/>
  <c r="C411" i="44"/>
  <c r="E411" i="44" s="1"/>
  <c r="I411" i="44"/>
  <c r="E412" i="44"/>
  <c r="I412" i="44"/>
  <c r="E413" i="44"/>
  <c r="I413" i="44"/>
  <c r="E414" i="44"/>
  <c r="I414" i="44"/>
  <c r="E415" i="44"/>
  <c r="I415" i="44"/>
  <c r="E416" i="44"/>
  <c r="I416" i="44"/>
  <c r="E417" i="44"/>
  <c r="I417" i="44"/>
  <c r="E418" i="44"/>
  <c r="I418" i="44"/>
  <c r="E420" i="44"/>
  <c r="I420" i="44"/>
  <c r="E422" i="44"/>
  <c r="I422" i="44"/>
  <c r="E423" i="44"/>
  <c r="I423" i="44"/>
  <c r="E424" i="44"/>
  <c r="I424" i="44"/>
  <c r="E426" i="44"/>
  <c r="I426" i="44"/>
  <c r="E427" i="44"/>
  <c r="I427" i="44"/>
  <c r="E428" i="44"/>
  <c r="I428" i="44"/>
  <c r="E429" i="44"/>
  <c r="I429" i="44"/>
  <c r="E430" i="44"/>
  <c r="I430" i="44"/>
  <c r="E431" i="44"/>
  <c r="I431" i="44"/>
  <c r="E432" i="44"/>
  <c r="I432" i="44"/>
  <c r="E433" i="44"/>
  <c r="I433" i="44"/>
  <c r="E434" i="44"/>
  <c r="I434" i="44"/>
  <c r="C435" i="44"/>
  <c r="E435" i="44" s="1"/>
  <c r="I435" i="44"/>
  <c r="E436" i="44"/>
  <c r="I436" i="44"/>
  <c r="E437" i="44"/>
  <c r="I437" i="44"/>
  <c r="C438" i="44"/>
  <c r="E438" i="44" s="1"/>
  <c r="I438" i="44"/>
  <c r="E439" i="44"/>
  <c r="I439" i="44"/>
  <c r="E440" i="44"/>
  <c r="I440" i="44"/>
  <c r="E441" i="44"/>
  <c r="I441" i="44"/>
  <c r="E442" i="44"/>
  <c r="I442" i="44"/>
  <c r="E443" i="44"/>
  <c r="I443" i="44"/>
  <c r="C444" i="44"/>
  <c r="E444" i="44" s="1"/>
  <c r="I444" i="44"/>
  <c r="E445" i="44"/>
  <c r="I445" i="44"/>
  <c r="E446" i="44"/>
  <c r="I446" i="44"/>
  <c r="E448" i="44"/>
  <c r="I448" i="44"/>
  <c r="E449" i="44"/>
  <c r="I449" i="44"/>
  <c r="E450" i="44"/>
  <c r="I450" i="44"/>
  <c r="E451" i="44"/>
  <c r="I451" i="44"/>
  <c r="E454" i="44"/>
  <c r="I454" i="44"/>
  <c r="E455" i="44"/>
  <c r="I455" i="44"/>
  <c r="E456" i="44"/>
  <c r="I456" i="44"/>
  <c r="E457" i="44"/>
  <c r="G457" i="44"/>
  <c r="I457" i="44" s="1"/>
  <c r="E459" i="44"/>
  <c r="I459" i="44"/>
  <c r="E460" i="44"/>
  <c r="I460" i="44"/>
  <c r="E461" i="44"/>
  <c r="I461" i="44"/>
  <c r="E462" i="44"/>
  <c r="G462" i="44"/>
  <c r="I462" i="44" s="1"/>
  <c r="E466" i="44"/>
  <c r="I466" i="44"/>
  <c r="E467" i="44"/>
  <c r="I467" i="44"/>
  <c r="E468" i="44"/>
  <c r="I468" i="44"/>
  <c r="E469" i="44"/>
  <c r="I469" i="44"/>
  <c r="E471" i="44"/>
  <c r="I471" i="44"/>
  <c r="E472" i="44"/>
  <c r="I472" i="44"/>
  <c r="E474" i="44"/>
  <c r="I474" i="44"/>
  <c r="E475" i="44"/>
  <c r="I475" i="44"/>
  <c r="E476" i="44"/>
  <c r="I476" i="44"/>
  <c r="E477" i="44"/>
  <c r="I477" i="44"/>
  <c r="E478" i="44"/>
  <c r="I478" i="44"/>
  <c r="E479" i="44"/>
  <c r="I479" i="44"/>
  <c r="E480" i="44"/>
  <c r="G480" i="44"/>
  <c r="I480" i="44" s="1"/>
  <c r="E483" i="44"/>
  <c r="I483" i="44"/>
  <c r="E484" i="44"/>
  <c r="I484" i="44"/>
  <c r="E485" i="44"/>
  <c r="I485" i="44"/>
  <c r="E486" i="44"/>
  <c r="I486" i="44"/>
  <c r="E488" i="44"/>
  <c r="I488" i="44"/>
  <c r="E489" i="44"/>
  <c r="I489" i="44"/>
  <c r="E491" i="44"/>
  <c r="I491" i="44"/>
  <c r="E492" i="44"/>
  <c r="I492" i="44"/>
  <c r="E493" i="44"/>
  <c r="I493" i="44"/>
  <c r="E494" i="44"/>
  <c r="I494" i="44"/>
  <c r="E495" i="44"/>
  <c r="I495" i="44"/>
  <c r="E496" i="44"/>
  <c r="I496" i="44"/>
  <c r="E497" i="44"/>
  <c r="G497" i="44"/>
  <c r="I497" i="44" s="1"/>
  <c r="E500" i="44"/>
  <c r="I500" i="44"/>
  <c r="E501" i="44"/>
  <c r="I501" i="44"/>
  <c r="E502" i="44"/>
  <c r="I502" i="44"/>
  <c r="E503" i="44"/>
  <c r="I503" i="44"/>
  <c r="E505" i="44"/>
  <c r="I505" i="44"/>
  <c r="E506" i="44"/>
  <c r="I506" i="44"/>
  <c r="E508" i="44"/>
  <c r="I508" i="44"/>
  <c r="E509" i="44"/>
  <c r="I509" i="44"/>
  <c r="E510" i="44"/>
  <c r="I510" i="44"/>
  <c r="E511" i="44"/>
  <c r="I511" i="44"/>
  <c r="E512" i="44"/>
  <c r="I512" i="44"/>
  <c r="E513" i="44"/>
  <c r="I513" i="44"/>
  <c r="E514" i="44"/>
  <c r="G514" i="44"/>
  <c r="I514" i="44" s="1"/>
  <c r="E517" i="44"/>
  <c r="G517" i="44"/>
  <c r="I517" i="44" s="1"/>
  <c r="E518" i="44"/>
  <c r="G518" i="44"/>
  <c r="I518" i="44" s="1"/>
  <c r="E519" i="44"/>
  <c r="G519" i="44"/>
  <c r="I519" i="44" s="1"/>
  <c r="E520" i="44"/>
  <c r="G520" i="44"/>
  <c r="I520" i="44" s="1"/>
  <c r="E521" i="44"/>
  <c r="G521" i="44"/>
  <c r="I521" i="44" s="1"/>
  <c r="E522" i="44"/>
  <c r="G522" i="44"/>
  <c r="I522" i="44" s="1"/>
  <c r="E523" i="44"/>
  <c r="G523" i="44"/>
  <c r="I523" i="44" s="1"/>
  <c r="E524" i="44"/>
  <c r="G524" i="44"/>
  <c r="I524" i="44" s="1"/>
  <c r="E525" i="44"/>
  <c r="G525" i="44"/>
  <c r="I525" i="44" s="1"/>
  <c r="E526" i="44"/>
  <c r="G526" i="44"/>
  <c r="I526" i="44" s="1"/>
  <c r="E527" i="44"/>
  <c r="G527" i="44"/>
  <c r="I527" i="44" s="1"/>
  <c r="E528" i="44"/>
  <c r="G528" i="44"/>
  <c r="I528" i="44" s="1"/>
  <c r="E529" i="44"/>
  <c r="G529" i="44"/>
  <c r="I529" i="44" s="1"/>
  <c r="E530" i="44"/>
  <c r="G530" i="44"/>
  <c r="I530" i="44" s="1"/>
  <c r="E531" i="44"/>
  <c r="G531" i="44"/>
  <c r="I531" i="44" s="1"/>
  <c r="E532" i="44"/>
  <c r="G532" i="44"/>
  <c r="I532" i="44" s="1"/>
  <c r="E533" i="44"/>
  <c r="G533" i="44"/>
  <c r="I533" i="44" s="1"/>
  <c r="E534" i="44"/>
  <c r="G534" i="44"/>
  <c r="I534" i="44" s="1"/>
  <c r="E535" i="44"/>
  <c r="G535" i="44"/>
  <c r="I535" i="44" s="1"/>
  <c r="E536" i="44"/>
  <c r="G536" i="44"/>
  <c r="I536" i="44" s="1"/>
  <c r="E537" i="44"/>
  <c r="G537" i="44"/>
  <c r="I537" i="44" s="1"/>
  <c r="E538" i="44"/>
  <c r="G538" i="44"/>
  <c r="I538" i="44" s="1"/>
  <c r="E539" i="44"/>
  <c r="G539" i="44"/>
  <c r="I539" i="44" s="1"/>
  <c r="E540" i="44"/>
  <c r="G540" i="44"/>
  <c r="I540" i="44" s="1"/>
  <c r="E541" i="44"/>
  <c r="G541" i="44"/>
  <c r="I541" i="44" s="1"/>
  <c r="E542" i="44"/>
  <c r="G542" i="44"/>
  <c r="I542" i="44" s="1"/>
  <c r="E543" i="44"/>
  <c r="G543" i="44"/>
  <c r="I543" i="44" s="1"/>
  <c r="E544" i="44"/>
  <c r="G544" i="44"/>
  <c r="I544" i="44" s="1"/>
  <c r="E545" i="44"/>
  <c r="G545" i="44"/>
  <c r="I545" i="44" s="1"/>
  <c r="E546" i="44"/>
  <c r="G546" i="44"/>
  <c r="I546" i="44" s="1"/>
  <c r="E547" i="44"/>
  <c r="G547" i="44"/>
  <c r="I547" i="44" s="1"/>
  <c r="E548" i="44"/>
  <c r="G548" i="44"/>
  <c r="I548" i="44" s="1"/>
  <c r="E549" i="44"/>
  <c r="G549" i="44"/>
  <c r="I549" i="44" s="1"/>
  <c r="E550" i="44"/>
  <c r="G550" i="44"/>
  <c r="I550" i="44" s="1"/>
  <c r="E551" i="44"/>
  <c r="G551" i="44"/>
  <c r="I551" i="44" s="1"/>
  <c r="E552" i="44"/>
  <c r="G552" i="44"/>
  <c r="I552" i="44" s="1"/>
  <c r="E553" i="44"/>
  <c r="G553" i="44"/>
  <c r="I553" i="44" s="1"/>
  <c r="E554" i="44"/>
  <c r="G554" i="44"/>
  <c r="I554" i="44" s="1"/>
  <c r="E555" i="44"/>
  <c r="G555" i="44"/>
  <c r="I555" i="44" s="1"/>
  <c r="E556" i="44"/>
  <c r="G556" i="44"/>
  <c r="I556" i="44" s="1"/>
  <c r="E557" i="44"/>
  <c r="G557" i="44"/>
  <c r="I557" i="44" s="1"/>
  <c r="E558" i="44"/>
  <c r="G558" i="44"/>
  <c r="I558" i="44" s="1"/>
  <c r="I559" i="44"/>
  <c r="J559" i="44" s="1"/>
  <c r="E560" i="44"/>
  <c r="G560" i="44"/>
  <c r="I560" i="44" s="1"/>
  <c r="E561" i="44"/>
  <c r="G561" i="44"/>
  <c r="I561" i="44" s="1"/>
  <c r="E562" i="44"/>
  <c r="G562" i="44"/>
  <c r="I562" i="44" s="1"/>
  <c r="E563" i="44"/>
  <c r="G563" i="44"/>
  <c r="I563" i="44" s="1"/>
  <c r="E564" i="44"/>
  <c r="G564" i="44"/>
  <c r="I564" i="44" s="1"/>
  <c r="E565" i="44"/>
  <c r="G565" i="44"/>
  <c r="I565" i="44" s="1"/>
  <c r="E566" i="44"/>
  <c r="G566" i="44"/>
  <c r="I566" i="44" s="1"/>
  <c r="E567" i="44"/>
  <c r="G567" i="44"/>
  <c r="I567" i="44" s="1"/>
  <c r="E568" i="44"/>
  <c r="G568" i="44"/>
  <c r="I568" i="44" s="1"/>
  <c r="E569" i="44"/>
  <c r="G569" i="44"/>
  <c r="I569" i="44" s="1"/>
  <c r="E570" i="44"/>
  <c r="G570" i="44"/>
  <c r="I570" i="44" s="1"/>
  <c r="E571" i="44"/>
  <c r="G571" i="44"/>
  <c r="I571" i="44" s="1"/>
  <c r="E573" i="44"/>
  <c r="G573" i="44"/>
  <c r="I573" i="44" s="1"/>
  <c r="E574" i="44"/>
  <c r="G574" i="44"/>
  <c r="I574" i="44" s="1"/>
  <c r="E575" i="44"/>
  <c r="G575" i="44"/>
  <c r="I575" i="44" s="1"/>
  <c r="E576" i="44"/>
  <c r="G576" i="44"/>
  <c r="I576" i="44" s="1"/>
  <c r="E577" i="44"/>
  <c r="G577" i="44"/>
  <c r="I577" i="44" s="1"/>
  <c r="E578" i="44"/>
  <c r="G578" i="44"/>
  <c r="I578" i="44" s="1"/>
  <c r="E584" i="44"/>
  <c r="I584" i="44"/>
  <c r="E585" i="44"/>
  <c r="I585" i="44"/>
  <c r="E586" i="44"/>
  <c r="I586" i="44"/>
  <c r="E587" i="44"/>
  <c r="I587" i="44"/>
  <c r="E589" i="44"/>
  <c r="I589" i="44"/>
  <c r="C590" i="44"/>
  <c r="E590" i="44" s="1"/>
  <c r="I590" i="44"/>
  <c r="E591" i="44"/>
  <c r="I591" i="44"/>
  <c r="E593" i="44"/>
  <c r="I593" i="44"/>
  <c r="E594" i="44"/>
  <c r="I594" i="44"/>
  <c r="E596" i="44"/>
  <c r="I596" i="44"/>
  <c r="E597" i="44"/>
  <c r="I597" i="44"/>
  <c r="E598" i="44"/>
  <c r="I598" i="44"/>
  <c r="E599" i="44"/>
  <c r="I599" i="44"/>
  <c r="E602" i="44"/>
  <c r="I602" i="44"/>
  <c r="E603" i="44"/>
  <c r="I603" i="44"/>
  <c r="E604" i="44"/>
  <c r="I604" i="44"/>
  <c r="E605" i="44"/>
  <c r="I605" i="44"/>
  <c r="E606" i="44"/>
  <c r="I606" i="44"/>
  <c r="E607" i="44"/>
  <c r="I607" i="44"/>
  <c r="E608" i="44"/>
  <c r="I608" i="44"/>
  <c r="E609" i="44"/>
  <c r="I609" i="44"/>
  <c r="P225" i="43"/>
  <c r="O708" i="43"/>
  <c r="R708" i="43"/>
  <c r="Q708" i="43"/>
  <c r="Q709" i="43" s="1"/>
  <c r="O628" i="43"/>
  <c r="Q628" i="43"/>
  <c r="O629" i="43"/>
  <c r="P628" i="43"/>
  <c r="R628" i="43" s="1"/>
  <c r="S546" i="43"/>
  <c r="R546" i="43"/>
  <c r="P546" i="43"/>
  <c r="O546" i="43"/>
  <c r="S547" i="43" s="1"/>
  <c r="O892" i="43"/>
  <c r="Q892" i="43" s="1"/>
  <c r="P892" i="43"/>
  <c r="R340" i="43"/>
  <c r="R341" i="43"/>
  <c r="O340" i="43" s="1"/>
  <c r="S340" i="43"/>
  <c r="Q340" i="43"/>
  <c r="O227" i="43"/>
  <c r="O229" i="43" s="1"/>
  <c r="P227" i="43"/>
  <c r="R227" i="43"/>
  <c r="Q227" i="43"/>
  <c r="Y9" i="43"/>
  <c r="Z9" i="43"/>
  <c r="AD9" i="43"/>
  <c r="AD11" i="43" s="1"/>
  <c r="AC9" i="43"/>
  <c r="AB9" i="43"/>
  <c r="AD10" i="43"/>
  <c r="K923" i="43"/>
  <c r="R367" i="44"/>
  <c r="C366" i="44" s="1"/>
  <c r="E366" i="44" s="1"/>
  <c r="R373" i="44"/>
  <c r="C372" i="44" s="1"/>
  <c r="E372" i="44" s="1"/>
  <c r="E644" i="43"/>
  <c r="E245" i="43"/>
  <c r="E899" i="43"/>
  <c r="E715" i="43"/>
  <c r="E555" i="43"/>
  <c r="K349" i="43"/>
  <c r="E349" i="43"/>
  <c r="E237" i="43"/>
  <c r="E26" i="43"/>
  <c r="E19" i="43"/>
  <c r="L961" i="43"/>
  <c r="E912" i="43"/>
  <c r="E907" i="43"/>
  <c r="E908" i="43"/>
  <c r="E905" i="43"/>
  <c r="E732" i="43"/>
  <c r="E730" i="43"/>
  <c r="E729" i="43"/>
  <c r="E724" i="43"/>
  <c r="E722" i="43"/>
  <c r="E721" i="43"/>
  <c r="E678" i="43"/>
  <c r="E648" i="43"/>
  <c r="E643" i="43"/>
  <c r="Y19" i="43"/>
  <c r="E655" i="43"/>
  <c r="E654" i="43"/>
  <c r="E652" i="43"/>
  <c r="E651" i="43"/>
  <c r="E645" i="43"/>
  <c r="E646" i="43"/>
  <c r="E600" i="43"/>
  <c r="E579" i="43"/>
  <c r="E571" i="43"/>
  <c r="E568" i="43"/>
  <c r="E569" i="43"/>
  <c r="E561" i="43"/>
  <c r="E562" i="43"/>
  <c r="E398" i="43"/>
  <c r="E365" i="43"/>
  <c r="E363" i="43"/>
  <c r="E362" i="43"/>
  <c r="E356" i="43"/>
  <c r="E244" i="43"/>
  <c r="E243" i="43"/>
  <c r="E27" i="43"/>
  <c r="E25" i="43"/>
  <c r="E357" i="43"/>
  <c r="E355" i="43"/>
  <c r="E262" i="43"/>
  <c r="E254" i="43"/>
  <c r="E252" i="43"/>
  <c r="E251" i="43"/>
  <c r="E38" i="43"/>
  <c r="E37" i="43"/>
  <c r="E65" i="43"/>
  <c r="E44" i="43"/>
  <c r="E43" i="43"/>
  <c r="E36" i="43"/>
  <c r="E34" i="43"/>
  <c r="E33" i="43"/>
  <c r="K12" i="43"/>
  <c r="U582" i="44"/>
  <c r="R571" i="44"/>
  <c r="R568" i="44"/>
  <c r="R565" i="44"/>
  <c r="P410" i="44"/>
  <c r="P409" i="44"/>
  <c r="P393" i="44"/>
  <c r="P394" i="44" s="1"/>
  <c r="M383" i="44"/>
  <c r="N384" i="44" s="1"/>
  <c r="Q378" i="44"/>
  <c r="Q379" i="44" s="1"/>
  <c r="P261" i="44"/>
  <c r="Q260" i="44"/>
  <c r="P260" i="44"/>
  <c r="P243" i="44"/>
  <c r="P244" i="44" s="1"/>
  <c r="P234" i="44"/>
  <c r="S234" i="44" s="1"/>
  <c r="M233" i="44"/>
  <c r="N234" i="44" s="1"/>
  <c r="M229" i="44" s="1"/>
  <c r="S233" i="44"/>
  <c r="P233" i="44"/>
  <c r="Q228" i="44"/>
  <c r="Q229" i="44" s="1"/>
  <c r="M217" i="44"/>
  <c r="R216" i="44"/>
  <c r="R209" i="44"/>
  <c r="R206" i="44"/>
  <c r="R203" i="44"/>
  <c r="M59" i="44"/>
  <c r="N59" i="44" s="1"/>
  <c r="M55" i="44" s="1"/>
  <c r="Q25" i="44"/>
  <c r="R25" i="44" s="1"/>
  <c r="R9" i="44"/>
  <c r="R10" i="44" s="1"/>
  <c r="R11" i="44" s="1"/>
  <c r="Y891" i="43"/>
  <c r="Y712" i="43"/>
  <c r="Z713" i="43" s="1"/>
  <c r="Y631" i="43"/>
  <c r="Y629" i="43" s="1"/>
  <c r="Z618" i="43"/>
  <c r="Y548" i="43" s="1"/>
  <c r="K206" i="43"/>
  <c r="E942" i="43"/>
  <c r="G942" i="43" s="1"/>
  <c r="G950" i="43"/>
  <c r="K942" i="43"/>
  <c r="L942" i="43" s="1"/>
  <c r="G933" i="43"/>
  <c r="G934" i="43"/>
  <c r="G935" i="43"/>
  <c r="K935" i="43"/>
  <c r="L935" i="43" s="1"/>
  <c r="M935" i="43" s="1"/>
  <c r="N935" i="43" s="1"/>
  <c r="G936" i="43"/>
  <c r="G937" i="43"/>
  <c r="G938" i="43"/>
  <c r="G939" i="43"/>
  <c r="K939" i="43"/>
  <c r="L939" i="43"/>
  <c r="M939" i="43" s="1"/>
  <c r="N939" i="43" s="1"/>
  <c r="G940" i="43"/>
  <c r="G941" i="43"/>
  <c r="G943" i="43"/>
  <c r="G944" i="43"/>
  <c r="K944" i="43"/>
  <c r="L944" i="43" s="1"/>
  <c r="M944" i="43" s="1"/>
  <c r="N944" i="43" s="1"/>
  <c r="G945" i="43"/>
  <c r="G946" i="43"/>
  <c r="G947" i="43"/>
  <c r="G948" i="43"/>
  <c r="K948" i="43"/>
  <c r="L948" i="43" s="1"/>
  <c r="M948" i="43" s="1"/>
  <c r="N948" i="43" s="1"/>
  <c r="G953" i="43"/>
  <c r="G954" i="43"/>
  <c r="K933" i="43"/>
  <c r="K954" i="43"/>
  <c r="L954" i="43"/>
  <c r="M954" i="43" s="1"/>
  <c r="K953" i="43"/>
  <c r="K952" i="43"/>
  <c r="K951" i="43"/>
  <c r="K950" i="43"/>
  <c r="K949" i="43"/>
  <c r="K947" i="43"/>
  <c r="L947" i="43"/>
  <c r="M947" i="43" s="1"/>
  <c r="N947" i="43" s="1"/>
  <c r="K946" i="43"/>
  <c r="L946" i="43" s="1"/>
  <c r="M946" i="43" s="1"/>
  <c r="N946" i="43" s="1"/>
  <c r="K945" i="43"/>
  <c r="K943" i="43"/>
  <c r="L943" i="43" s="1"/>
  <c r="M943" i="43" s="1"/>
  <c r="N943" i="43" s="1"/>
  <c r="K941" i="43"/>
  <c r="L941" i="43" s="1"/>
  <c r="M941" i="43" s="1"/>
  <c r="N941" i="43" s="1"/>
  <c r="K940" i="43"/>
  <c r="L940" i="43" s="1"/>
  <c r="M940" i="43" s="1"/>
  <c r="N940" i="43" s="1"/>
  <c r="K938" i="43"/>
  <c r="L938" i="43" s="1"/>
  <c r="M938" i="43" s="1"/>
  <c r="N938" i="43" s="1"/>
  <c r="K937" i="43"/>
  <c r="K936" i="43"/>
  <c r="L936" i="43" s="1"/>
  <c r="M936" i="43" s="1"/>
  <c r="N936" i="43" s="1"/>
  <c r="K934" i="43"/>
  <c r="L934" i="43" s="1"/>
  <c r="M934" i="43" s="1"/>
  <c r="N934" i="43" s="1"/>
  <c r="K929" i="43"/>
  <c r="L929" i="43" s="1"/>
  <c r="M929" i="43" s="1"/>
  <c r="N929" i="43" s="1"/>
  <c r="G929" i="43"/>
  <c r="K928" i="43"/>
  <c r="G928" i="43"/>
  <c r="G922" i="43"/>
  <c r="G923" i="43"/>
  <c r="G924" i="43"/>
  <c r="G926" i="43"/>
  <c r="G927" i="43"/>
  <c r="G921" i="43"/>
  <c r="L921" i="43" s="1"/>
  <c r="M921" i="43" s="1"/>
  <c r="N921" i="43" s="1"/>
  <c r="K927" i="43"/>
  <c r="K926" i="43"/>
  <c r="L926" i="43" s="1"/>
  <c r="M926" i="43" s="1"/>
  <c r="N926" i="43" s="1"/>
  <c r="K925" i="43"/>
  <c r="K924" i="43"/>
  <c r="K922" i="43"/>
  <c r="K921" i="43"/>
  <c r="G925" i="43"/>
  <c r="G931" i="43"/>
  <c r="E917" i="43"/>
  <c r="G917" i="43" s="1"/>
  <c r="E915" i="43"/>
  <c r="G915" i="43"/>
  <c r="K915" i="43"/>
  <c r="L915" i="43" s="1"/>
  <c r="M915" i="43" s="1"/>
  <c r="N915" i="43" s="1"/>
  <c r="E916" i="43"/>
  <c r="E914" i="43"/>
  <c r="E911" i="43"/>
  <c r="G911" i="43"/>
  <c r="G952" i="43"/>
  <c r="G951" i="43"/>
  <c r="G949" i="43"/>
  <c r="K898" i="43"/>
  <c r="L898" i="43" s="1"/>
  <c r="M898" i="43" s="1"/>
  <c r="N898" i="43" s="1"/>
  <c r="G898" i="43"/>
  <c r="K834" i="43"/>
  <c r="G834" i="43"/>
  <c r="K833" i="43"/>
  <c r="G833" i="43"/>
  <c r="L833" i="43"/>
  <c r="K831" i="43"/>
  <c r="G831" i="43"/>
  <c r="K830" i="43"/>
  <c r="G830" i="43"/>
  <c r="L830" i="43" s="1"/>
  <c r="K817" i="43"/>
  <c r="G817" i="43"/>
  <c r="K816" i="43"/>
  <c r="G816" i="43"/>
  <c r="K814" i="43"/>
  <c r="G814" i="43"/>
  <c r="K813" i="43"/>
  <c r="L813" i="43" s="1"/>
  <c r="G813" i="43"/>
  <c r="G800" i="43"/>
  <c r="G799" i="43"/>
  <c r="K799" i="43"/>
  <c r="K797" i="43"/>
  <c r="G797" i="43"/>
  <c r="L797" i="43" s="1"/>
  <c r="M797" i="43" s="1"/>
  <c r="K796" i="43"/>
  <c r="K795" i="43"/>
  <c r="K794" i="43"/>
  <c r="K800" i="43"/>
  <c r="L800" i="43" s="1"/>
  <c r="M800" i="43" s="1"/>
  <c r="K783" i="43"/>
  <c r="K782" i="43"/>
  <c r="K470" i="43"/>
  <c r="L470" i="43" s="1"/>
  <c r="M470" i="43" s="1"/>
  <c r="G470" i="43"/>
  <c r="K469" i="43"/>
  <c r="L469" i="43" s="1"/>
  <c r="G469" i="43"/>
  <c r="G452" i="43"/>
  <c r="K452" i="43"/>
  <c r="G453" i="43"/>
  <c r="K453" i="43"/>
  <c r="K435" i="43"/>
  <c r="G435" i="43"/>
  <c r="L435" i="43" s="1"/>
  <c r="K436" i="43"/>
  <c r="G436" i="43"/>
  <c r="K780" i="43"/>
  <c r="G780" i="43"/>
  <c r="L780" i="43"/>
  <c r="K779" i="43"/>
  <c r="G783" i="43"/>
  <c r="G782" i="43"/>
  <c r="K771" i="43"/>
  <c r="G771" i="43"/>
  <c r="K770" i="43"/>
  <c r="G770" i="43"/>
  <c r="L770" i="43"/>
  <c r="M770" i="43" s="1"/>
  <c r="K769" i="43"/>
  <c r="G769" i="43"/>
  <c r="K768" i="43"/>
  <c r="G768" i="43"/>
  <c r="L768" i="43" s="1"/>
  <c r="E762" i="43"/>
  <c r="G762" i="43" s="1"/>
  <c r="L762" i="43" s="1"/>
  <c r="M762" i="43" s="1"/>
  <c r="K767" i="43"/>
  <c r="K766" i="43"/>
  <c r="K765" i="43"/>
  <c r="K764" i="43"/>
  <c r="K763" i="43"/>
  <c r="K762" i="43"/>
  <c r="E761" i="43"/>
  <c r="G761" i="43" s="1"/>
  <c r="K761" i="43"/>
  <c r="L761" i="43"/>
  <c r="K760" i="43"/>
  <c r="K759" i="43"/>
  <c r="K758" i="43"/>
  <c r="K757" i="43"/>
  <c r="K756" i="43"/>
  <c r="K755" i="43"/>
  <c r="K754" i="43"/>
  <c r="L754" i="43" s="1"/>
  <c r="G754" i="43"/>
  <c r="K753" i="43"/>
  <c r="G753" i="43"/>
  <c r="G755" i="43"/>
  <c r="G756" i="43"/>
  <c r="G757" i="43"/>
  <c r="G758" i="43"/>
  <c r="G759" i="43"/>
  <c r="L759" i="43"/>
  <c r="G760" i="43"/>
  <c r="G763" i="43"/>
  <c r="G764" i="43"/>
  <c r="G767" i="43"/>
  <c r="L767" i="43" s="1"/>
  <c r="K752" i="43"/>
  <c r="G752" i="43"/>
  <c r="K773" i="43"/>
  <c r="G773" i="43"/>
  <c r="L773" i="43" s="1"/>
  <c r="M773" i="43" s="1"/>
  <c r="K772" i="43"/>
  <c r="G772" i="43"/>
  <c r="G766" i="43"/>
  <c r="L766" i="43" s="1"/>
  <c r="M766" i="43" s="1"/>
  <c r="G765" i="43"/>
  <c r="K748" i="43"/>
  <c r="G748" i="43"/>
  <c r="K747" i="43"/>
  <c r="G747" i="43"/>
  <c r="L747" i="43"/>
  <c r="E742" i="43"/>
  <c r="G742" i="43" s="1"/>
  <c r="E741" i="43"/>
  <c r="G741" i="43" s="1"/>
  <c r="E740" i="43"/>
  <c r="G740" i="43" s="1"/>
  <c r="K746" i="43"/>
  <c r="L746" i="43" s="1"/>
  <c r="M746" i="43" s="1"/>
  <c r="G746" i="43"/>
  <c r="K745" i="43"/>
  <c r="L745" i="43" s="1"/>
  <c r="M745" i="43" s="1"/>
  <c r="N745" i="43" s="1"/>
  <c r="K744" i="43"/>
  <c r="K743" i="43"/>
  <c r="K742" i="43"/>
  <c r="K741" i="43"/>
  <c r="K740" i="43"/>
  <c r="G745" i="43"/>
  <c r="G744" i="43"/>
  <c r="G743" i="43"/>
  <c r="E738" i="43"/>
  <c r="G738" i="43"/>
  <c r="E739" i="43"/>
  <c r="G739" i="43" s="1"/>
  <c r="E736" i="43"/>
  <c r="G736" i="43" s="1"/>
  <c r="E735" i="43"/>
  <c r="E734" i="43"/>
  <c r="G734" i="43"/>
  <c r="E733" i="43"/>
  <c r="G730" i="43"/>
  <c r="K727" i="43"/>
  <c r="G727" i="43"/>
  <c r="E725" i="43"/>
  <c r="G725" i="43"/>
  <c r="E723" i="43"/>
  <c r="K714" i="43"/>
  <c r="G714" i="43"/>
  <c r="G903" i="43"/>
  <c r="L903" i="43" s="1"/>
  <c r="M903" i="43" s="1"/>
  <c r="N903" i="43" s="1"/>
  <c r="K894" i="43"/>
  <c r="G894" i="43"/>
  <c r="K893" i="43"/>
  <c r="G893" i="43"/>
  <c r="K892" i="43"/>
  <c r="G892" i="43"/>
  <c r="G719" i="43"/>
  <c r="L719" i="43" s="1"/>
  <c r="M719" i="43" s="1"/>
  <c r="N719" i="43" s="1"/>
  <c r="K710" i="43"/>
  <c r="G710" i="43"/>
  <c r="K709" i="43"/>
  <c r="G709" i="43"/>
  <c r="K708" i="43"/>
  <c r="L708" i="43" s="1"/>
  <c r="G708" i="43"/>
  <c r="K684" i="43"/>
  <c r="K678" i="43"/>
  <c r="G678" i="43"/>
  <c r="K686" i="43"/>
  <c r="K685" i="43"/>
  <c r="K683" i="43"/>
  <c r="K682" i="43"/>
  <c r="K681" i="43"/>
  <c r="K680" i="43"/>
  <c r="K679" i="43"/>
  <c r="K677" i="43"/>
  <c r="K676" i="43"/>
  <c r="K675" i="43"/>
  <c r="K674" i="43"/>
  <c r="K673" i="43"/>
  <c r="L673" i="43" s="1"/>
  <c r="M673" i="43" s="1"/>
  <c r="N673" i="43" s="1"/>
  <c r="G673" i="43"/>
  <c r="K672" i="43"/>
  <c r="L672" i="43" s="1"/>
  <c r="K671" i="43"/>
  <c r="K670" i="43"/>
  <c r="K669" i="43"/>
  <c r="K688" i="43"/>
  <c r="G688" i="43"/>
  <c r="K687" i="43"/>
  <c r="G687" i="43"/>
  <c r="L687" i="43" s="1"/>
  <c r="M687" i="43" s="1"/>
  <c r="G669" i="43"/>
  <c r="G670" i="43"/>
  <c r="G671" i="43"/>
  <c r="G672" i="43"/>
  <c r="G674" i="43"/>
  <c r="G675" i="43"/>
  <c r="G676" i="43"/>
  <c r="L676" i="43"/>
  <c r="M676" i="43" s="1"/>
  <c r="G677" i="43"/>
  <c r="G679" i="43"/>
  <c r="G680" i="43"/>
  <c r="G681" i="43"/>
  <c r="L681" i="43"/>
  <c r="M681" i="43" s="1"/>
  <c r="G684" i="43"/>
  <c r="G686" i="43"/>
  <c r="G667" i="43"/>
  <c r="G685" i="43"/>
  <c r="L685" i="43" s="1"/>
  <c r="M685" i="43" s="1"/>
  <c r="G683" i="43"/>
  <c r="G682" i="43"/>
  <c r="K665" i="43"/>
  <c r="L665" i="43" s="1"/>
  <c r="G665" i="43"/>
  <c r="M665" i="43"/>
  <c r="N665" i="43" s="1"/>
  <c r="K664" i="43"/>
  <c r="G664" i="43"/>
  <c r="E661" i="43"/>
  <c r="G661" i="43" s="1"/>
  <c r="K663" i="43"/>
  <c r="K662" i="43"/>
  <c r="K661" i="43"/>
  <c r="G662" i="43"/>
  <c r="G663" i="43"/>
  <c r="G796" i="43"/>
  <c r="G779" i="43"/>
  <c r="E657" i="43"/>
  <c r="G657" i="43" s="1"/>
  <c r="K656" i="43"/>
  <c r="G656" i="43"/>
  <c r="L656" i="43" s="1"/>
  <c r="M656" i="43" s="1"/>
  <c r="E572" i="43"/>
  <c r="E358" i="43"/>
  <c r="E261" i="43"/>
  <c r="G261" i="43" s="1"/>
  <c r="E260" i="43"/>
  <c r="G651" i="43"/>
  <c r="K649" i="43"/>
  <c r="L649" i="43" s="1"/>
  <c r="G649" i="43"/>
  <c r="G645" i="43"/>
  <c r="G641" i="43"/>
  <c r="L641" i="43" s="1"/>
  <c r="M641" i="43" s="1"/>
  <c r="N641" i="43" s="1"/>
  <c r="K636" i="43"/>
  <c r="G636" i="43"/>
  <c r="K632" i="43"/>
  <c r="G632" i="43"/>
  <c r="K631" i="43"/>
  <c r="G631" i="43"/>
  <c r="K630" i="43"/>
  <c r="G630" i="43"/>
  <c r="E608" i="43"/>
  <c r="G608" i="43"/>
  <c r="G610" i="43"/>
  <c r="L610" i="43" s="1"/>
  <c r="K612" i="43"/>
  <c r="G612" i="43"/>
  <c r="K611" i="43"/>
  <c r="G611" i="43"/>
  <c r="K610" i="43"/>
  <c r="K609" i="43"/>
  <c r="K608" i="43"/>
  <c r="K607" i="43"/>
  <c r="G607" i="43"/>
  <c r="K605" i="43"/>
  <c r="G605" i="43"/>
  <c r="K606" i="43"/>
  <c r="K604" i="43"/>
  <c r="K603" i="43"/>
  <c r="K602" i="43"/>
  <c r="K600" i="43"/>
  <c r="G600" i="43"/>
  <c r="K599" i="43"/>
  <c r="G599" i="43"/>
  <c r="K597" i="43"/>
  <c r="K596" i="43"/>
  <c r="K595" i="43"/>
  <c r="K594" i="43"/>
  <c r="K601" i="43"/>
  <c r="L601" i="43" s="1"/>
  <c r="M601" i="43" s="1"/>
  <c r="K598" i="43"/>
  <c r="K593" i="43"/>
  <c r="L593" i="43" s="1"/>
  <c r="M593" i="43" s="1"/>
  <c r="G592" i="43"/>
  <c r="L592" i="43" s="1"/>
  <c r="G593" i="43"/>
  <c r="G594" i="43"/>
  <c r="G595" i="43"/>
  <c r="G596" i="43"/>
  <c r="G597" i="43"/>
  <c r="G598" i="43"/>
  <c r="G601" i="43"/>
  <c r="G602" i="43"/>
  <c r="G603" i="43"/>
  <c r="G604" i="43"/>
  <c r="G591" i="43"/>
  <c r="K592" i="43"/>
  <c r="K591" i="43"/>
  <c r="L591" i="43" s="1"/>
  <c r="G606" i="43"/>
  <c r="K585" i="43"/>
  <c r="L585" i="43" s="1"/>
  <c r="M585" i="43" s="1"/>
  <c r="K584" i="43"/>
  <c r="K583" i="43"/>
  <c r="L583" i="43" s="1"/>
  <c r="M583" i="43" s="1"/>
  <c r="K582" i="43"/>
  <c r="K581" i="43"/>
  <c r="K580" i="43"/>
  <c r="K579" i="43"/>
  <c r="K587" i="43"/>
  <c r="G587" i="43"/>
  <c r="K586" i="43"/>
  <c r="G586" i="43"/>
  <c r="G579" i="43"/>
  <c r="G580" i="43"/>
  <c r="G581" i="43"/>
  <c r="G582" i="43"/>
  <c r="L582" i="43" s="1"/>
  <c r="M582" i="43" s="1"/>
  <c r="G583" i="43"/>
  <c r="G584" i="43"/>
  <c r="G585" i="43"/>
  <c r="E578" i="43"/>
  <c r="G578" i="43"/>
  <c r="E574" i="43"/>
  <c r="K573" i="43"/>
  <c r="G573" i="43"/>
  <c r="K566" i="43"/>
  <c r="L566" i="43" s="1"/>
  <c r="G566" i="43"/>
  <c r="K360" i="43"/>
  <c r="G360" i="43"/>
  <c r="E563" i="43"/>
  <c r="G563" i="43"/>
  <c r="G559" i="43"/>
  <c r="L559" i="43" s="1"/>
  <c r="M559" i="43" s="1"/>
  <c r="N559" i="43" s="1"/>
  <c r="K554" i="43"/>
  <c r="G554" i="43"/>
  <c r="K550" i="43"/>
  <c r="G550" i="43"/>
  <c r="K549" i="43"/>
  <c r="L549" i="43" s="1"/>
  <c r="M549" i="43" s="1"/>
  <c r="G549" i="43"/>
  <c r="K548" i="43"/>
  <c r="L548" i="43" s="1"/>
  <c r="G548" i="43"/>
  <c r="K467" i="43"/>
  <c r="K466" i="43"/>
  <c r="G466" i="43"/>
  <c r="L466" i="43"/>
  <c r="M466" i="43" s="1"/>
  <c r="G467" i="43"/>
  <c r="K450" i="43"/>
  <c r="K449" i="43"/>
  <c r="G449" i="43"/>
  <c r="G450" i="43"/>
  <c r="K433" i="43"/>
  <c r="K432" i="43"/>
  <c r="G432" i="43"/>
  <c r="G433" i="43"/>
  <c r="G424" i="43"/>
  <c r="G425" i="43"/>
  <c r="G419" i="43"/>
  <c r="K419" i="43"/>
  <c r="L419" i="43"/>
  <c r="M419" i="43" s="1"/>
  <c r="G420" i="43"/>
  <c r="K320" i="43"/>
  <c r="L320" i="43" s="1"/>
  <c r="M320" i="43" s="1"/>
  <c r="G320" i="43"/>
  <c r="K415" i="43"/>
  <c r="L415" i="43" s="1"/>
  <c r="G415" i="43"/>
  <c r="K414" i="43"/>
  <c r="K413" i="43"/>
  <c r="K412" i="43"/>
  <c r="K409" i="43"/>
  <c r="G409" i="43"/>
  <c r="L409" i="43" s="1"/>
  <c r="M409" i="43" s="1"/>
  <c r="K410" i="43"/>
  <c r="G410" i="43"/>
  <c r="E401" i="43"/>
  <c r="G401" i="43" s="1"/>
  <c r="G400" i="43"/>
  <c r="K398" i="43"/>
  <c r="G398" i="43"/>
  <c r="K381" i="43"/>
  <c r="G381" i="43"/>
  <c r="L381" i="43" s="1"/>
  <c r="M381" i="43" s="1"/>
  <c r="N381" i="43" s="1"/>
  <c r="E372" i="43"/>
  <c r="E371" i="43"/>
  <c r="G371" i="43" s="1"/>
  <c r="E369" i="43"/>
  <c r="G369" i="43"/>
  <c r="K367" i="43"/>
  <c r="G367" i="43"/>
  <c r="G353" i="43"/>
  <c r="L353" i="43"/>
  <c r="M353" i="43" s="1"/>
  <c r="N353" i="43" s="1"/>
  <c r="G343" i="43"/>
  <c r="G344" i="43"/>
  <c r="G342" i="43"/>
  <c r="L342" i="43" s="1"/>
  <c r="K295" i="43"/>
  <c r="G295" i="43"/>
  <c r="K270" i="43"/>
  <c r="G270" i="43"/>
  <c r="K52" i="43"/>
  <c r="G52" i="43"/>
  <c r="G76" i="43"/>
  <c r="E292" i="43"/>
  <c r="K283" i="43"/>
  <c r="E283" i="43"/>
  <c r="G283" i="43"/>
  <c r="G609" i="43"/>
  <c r="E264" i="43"/>
  <c r="E263" i="43"/>
  <c r="G263" i="43"/>
  <c r="G262" i="43"/>
  <c r="E259" i="43"/>
  <c r="E257" i="43"/>
  <c r="E256" i="43"/>
  <c r="E255" i="43"/>
  <c r="G255" i="43" s="1"/>
  <c r="G249" i="43"/>
  <c r="E248" i="43"/>
  <c r="E246" i="43"/>
  <c r="G246" i="43" s="1"/>
  <c r="G241" i="43"/>
  <c r="L241" i="43"/>
  <c r="M241" i="43" s="1"/>
  <c r="N241" i="43" s="1"/>
  <c r="G231" i="43"/>
  <c r="G232" i="43"/>
  <c r="G230" i="43"/>
  <c r="A13" i="43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5" i="43" s="1"/>
  <c r="A26" i="43" s="1"/>
  <c r="A27" i="43" s="1"/>
  <c r="A28" i="43" s="1"/>
  <c r="A29" i="43" s="1"/>
  <c r="A30" i="43" s="1"/>
  <c r="A31" i="43" s="1"/>
  <c r="A33" i="43" s="1"/>
  <c r="A34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4" i="43" s="1"/>
  <c r="A56" i="43" s="1"/>
  <c r="A57" i="43" s="1"/>
  <c r="A58" i="43" s="1"/>
  <c r="G129" i="43"/>
  <c r="K77" i="43"/>
  <c r="G77" i="43"/>
  <c r="K76" i="43"/>
  <c r="L76" i="43" s="1"/>
  <c r="M76" i="43" s="1"/>
  <c r="N76" i="43" s="1"/>
  <c r="G65" i="43"/>
  <c r="G44" i="43"/>
  <c r="E42" i="43"/>
  <c r="G42" i="43" s="1"/>
  <c r="E41" i="43"/>
  <c r="G41" i="43" s="1"/>
  <c r="E39" i="43"/>
  <c r="G39" i="43" s="1"/>
  <c r="G37" i="43"/>
  <c r="E29" i="43"/>
  <c r="G29" i="43"/>
  <c r="E28" i="43"/>
  <c r="G28" i="43" s="1"/>
  <c r="G23" i="43"/>
  <c r="L23" i="43"/>
  <c r="M23" i="43" s="1"/>
  <c r="N23" i="43" s="1"/>
  <c r="K74" i="43"/>
  <c r="G64" i="43"/>
  <c r="G63" i="43"/>
  <c r="K54" i="43"/>
  <c r="K43" i="43"/>
  <c r="K51" i="43"/>
  <c r="K50" i="43"/>
  <c r="L50" i="43" s="1"/>
  <c r="M50" i="43" s="1"/>
  <c r="N50" i="43" s="1"/>
  <c r="G50" i="43"/>
  <c r="K49" i="43"/>
  <c r="K48" i="43"/>
  <c r="K47" i="43"/>
  <c r="K46" i="43"/>
  <c r="K45" i="43"/>
  <c r="K44" i="43"/>
  <c r="K42" i="43"/>
  <c r="K41" i="43"/>
  <c r="K40" i="43"/>
  <c r="K39" i="43"/>
  <c r="K38" i="43"/>
  <c r="K37" i="43"/>
  <c r="K36" i="43"/>
  <c r="K34" i="43"/>
  <c r="K33" i="43"/>
  <c r="K29" i="43"/>
  <c r="K30" i="43"/>
  <c r="K28" i="43"/>
  <c r="K27" i="43"/>
  <c r="K26" i="43"/>
  <c r="K25" i="43"/>
  <c r="K22" i="43"/>
  <c r="K21" i="43"/>
  <c r="K20" i="43"/>
  <c r="K18" i="43"/>
  <c r="K17" i="43"/>
  <c r="K16" i="43"/>
  <c r="K15" i="43"/>
  <c r="K14" i="43"/>
  <c r="K19" i="43"/>
  <c r="K408" i="43"/>
  <c r="K407" i="43"/>
  <c r="K406" i="43"/>
  <c r="K405" i="43"/>
  <c r="K404" i="43"/>
  <c r="K403" i="43"/>
  <c r="K402" i="43"/>
  <c r="K401" i="43"/>
  <c r="K400" i="43"/>
  <c r="K399" i="43"/>
  <c r="K397" i="43"/>
  <c r="K396" i="43"/>
  <c r="K395" i="43"/>
  <c r="K394" i="43"/>
  <c r="K393" i="43"/>
  <c r="K392" i="43"/>
  <c r="K391" i="43"/>
  <c r="K390" i="43"/>
  <c r="K389" i="43"/>
  <c r="G414" i="43"/>
  <c r="G413" i="43"/>
  <c r="G412" i="43"/>
  <c r="G408" i="43"/>
  <c r="G406" i="43"/>
  <c r="G405" i="43"/>
  <c r="L405" i="43"/>
  <c r="G404" i="43"/>
  <c r="G403" i="43"/>
  <c r="G402" i="43"/>
  <c r="G399" i="43"/>
  <c r="G397" i="43"/>
  <c r="G396" i="43"/>
  <c r="G395" i="43"/>
  <c r="G394" i="43"/>
  <c r="G393" i="43"/>
  <c r="G392" i="43"/>
  <c r="G391" i="43"/>
  <c r="G390" i="43"/>
  <c r="G389" i="43"/>
  <c r="K386" i="43"/>
  <c r="K387" i="43"/>
  <c r="K385" i="43"/>
  <c r="G387" i="43"/>
  <c r="G386" i="43"/>
  <c r="G385" i="43"/>
  <c r="G418" i="43"/>
  <c r="L418" i="43" s="1"/>
  <c r="M418" i="43" s="1"/>
  <c r="K418" i="43"/>
  <c r="K380" i="43"/>
  <c r="K379" i="43"/>
  <c r="K378" i="43"/>
  <c r="K377" i="43"/>
  <c r="K376" i="43"/>
  <c r="K375" i="43"/>
  <c r="K374" i="43"/>
  <c r="K373" i="43"/>
  <c r="G373" i="43"/>
  <c r="G380" i="43"/>
  <c r="G379" i="43"/>
  <c r="G378" i="43"/>
  <c r="G376" i="43"/>
  <c r="G375" i="43"/>
  <c r="E374" i="43"/>
  <c r="G374" i="43"/>
  <c r="K348" i="43"/>
  <c r="G348" i="43"/>
  <c r="K344" i="43"/>
  <c r="K343" i="43"/>
  <c r="K342" i="43"/>
  <c r="K323" i="43"/>
  <c r="K322" i="43"/>
  <c r="K319" i="43"/>
  <c r="K318" i="43"/>
  <c r="G323" i="43"/>
  <c r="G322" i="43"/>
  <c r="K305" i="43"/>
  <c r="K304" i="43"/>
  <c r="G304" i="43"/>
  <c r="L304" i="43"/>
  <c r="M304" i="43" s="1"/>
  <c r="K302" i="43"/>
  <c r="K301" i="43"/>
  <c r="G305" i="43"/>
  <c r="E302" i="43"/>
  <c r="G302" i="43" s="1"/>
  <c r="L302" i="43"/>
  <c r="K294" i="43"/>
  <c r="K293" i="43"/>
  <c r="K292" i="43"/>
  <c r="K291" i="43"/>
  <c r="L291" i="43" s="1"/>
  <c r="K290" i="43"/>
  <c r="K289" i="43"/>
  <c r="K288" i="43"/>
  <c r="K287" i="43"/>
  <c r="K286" i="43"/>
  <c r="K285" i="43"/>
  <c r="K284" i="43"/>
  <c r="K282" i="43"/>
  <c r="L282" i="43" s="1"/>
  <c r="M282" i="43" s="1"/>
  <c r="K281" i="43"/>
  <c r="K280" i="43"/>
  <c r="K279" i="43"/>
  <c r="K278" i="43"/>
  <c r="K277" i="43"/>
  <c r="K276" i="43"/>
  <c r="K275" i="43"/>
  <c r="K274" i="43"/>
  <c r="G294" i="43"/>
  <c r="G291" i="43"/>
  <c r="G290" i="43"/>
  <c r="G289" i="43"/>
  <c r="G288" i="43"/>
  <c r="G287" i="43"/>
  <c r="G286" i="43"/>
  <c r="G285" i="43"/>
  <c r="G284" i="43"/>
  <c r="G282" i="43"/>
  <c r="G281" i="43"/>
  <c r="G280" i="43"/>
  <c r="G279" i="43"/>
  <c r="G278" i="43"/>
  <c r="G277" i="43"/>
  <c r="G276" i="43"/>
  <c r="G275" i="43"/>
  <c r="G274" i="43"/>
  <c r="K263" i="43"/>
  <c r="K267" i="43"/>
  <c r="K269" i="43"/>
  <c r="K265" i="43"/>
  <c r="K268" i="43"/>
  <c r="K266" i="43"/>
  <c r="K264" i="43"/>
  <c r="K262" i="43"/>
  <c r="G269" i="43"/>
  <c r="G268" i="43"/>
  <c r="G267" i="43"/>
  <c r="G265" i="43"/>
  <c r="K249" i="43"/>
  <c r="L249" i="43"/>
  <c r="G31" i="43"/>
  <c r="K236" i="43"/>
  <c r="G236" i="43"/>
  <c r="G19" i="43"/>
  <c r="G20" i="43"/>
  <c r="G18" i="43"/>
  <c r="K232" i="43"/>
  <c r="K231" i="43"/>
  <c r="L231" i="43"/>
  <c r="M231" i="43"/>
  <c r="N231" i="43"/>
  <c r="K230" i="43"/>
  <c r="K189" i="43"/>
  <c r="K188" i="43"/>
  <c r="K186" i="43"/>
  <c r="K185" i="43"/>
  <c r="G189" i="43"/>
  <c r="L189" i="43"/>
  <c r="M189" i="43"/>
  <c r="N189" i="43" s="1"/>
  <c r="G188" i="43"/>
  <c r="K172" i="43"/>
  <c r="G172" i="43"/>
  <c r="K171" i="43"/>
  <c r="K169" i="43"/>
  <c r="K168" i="43"/>
  <c r="G171" i="43"/>
  <c r="L171" i="43" s="1"/>
  <c r="M171" i="43" s="1"/>
  <c r="N171" i="43" s="1"/>
  <c r="G168" i="43"/>
  <c r="G169" i="43"/>
  <c r="K151" i="43"/>
  <c r="G151" i="43"/>
  <c r="L151" i="43"/>
  <c r="M151" i="43" s="1"/>
  <c r="N151" i="43" s="1"/>
  <c r="K152" i="43"/>
  <c r="K154" i="43"/>
  <c r="K155" i="43"/>
  <c r="G154" i="43"/>
  <c r="G155" i="43"/>
  <c r="G152" i="43"/>
  <c r="K138" i="43"/>
  <c r="K137" i="43"/>
  <c r="G138" i="43"/>
  <c r="G137" i="43"/>
  <c r="K134" i="43"/>
  <c r="L134" i="43" s="1"/>
  <c r="M134" i="43" s="1"/>
  <c r="N134" i="43" s="1"/>
  <c r="G134" i="43"/>
  <c r="K135" i="43"/>
  <c r="G135" i="43"/>
  <c r="G121" i="43"/>
  <c r="G120" i="43"/>
  <c r="G118" i="43"/>
  <c r="G117" i="43"/>
  <c r="K121" i="43"/>
  <c r="L121" i="43"/>
  <c r="M121" i="43" s="1"/>
  <c r="N121" i="43" s="1"/>
  <c r="K120" i="43"/>
  <c r="L120" i="43" s="1"/>
  <c r="M120" i="43" s="1"/>
  <c r="N120" i="43"/>
  <c r="K118" i="43"/>
  <c r="L118" i="43" s="1"/>
  <c r="M118" i="43" s="1"/>
  <c r="N118" i="43" s="1"/>
  <c r="K117" i="43"/>
  <c r="L117" i="43" s="1"/>
  <c r="M117" i="43" s="1"/>
  <c r="N117" i="43" s="1"/>
  <c r="K104" i="43"/>
  <c r="K103" i="43"/>
  <c r="G104" i="43"/>
  <c r="G103" i="43"/>
  <c r="G101" i="43"/>
  <c r="K101" i="43"/>
  <c r="L101" i="43" s="1"/>
  <c r="M101" i="43" s="1"/>
  <c r="N101" i="43" s="1"/>
  <c r="G100" i="43"/>
  <c r="K100" i="43"/>
  <c r="G87" i="43"/>
  <c r="G86" i="43"/>
  <c r="G84" i="43"/>
  <c r="G83" i="43"/>
  <c r="K87" i="43"/>
  <c r="L87" i="43" s="1"/>
  <c r="M87" i="43" s="1"/>
  <c r="N87" i="43" s="1"/>
  <c r="K86" i="43"/>
  <c r="L86" i="43" s="1"/>
  <c r="M86" i="43" s="1"/>
  <c r="N86" i="43" s="1"/>
  <c r="K83" i="43"/>
  <c r="K84" i="43"/>
  <c r="K75" i="43"/>
  <c r="K73" i="43"/>
  <c r="K71" i="43"/>
  <c r="K65" i="43"/>
  <c r="K72" i="43"/>
  <c r="K67" i="43"/>
  <c r="K68" i="43"/>
  <c r="K69" i="43"/>
  <c r="K70" i="43"/>
  <c r="K66" i="43"/>
  <c r="K64" i="43"/>
  <c r="L64" i="43"/>
  <c r="M64" i="43" s="1"/>
  <c r="N64" i="43" s="1"/>
  <c r="K61" i="43"/>
  <c r="K62" i="43"/>
  <c r="G62" i="43"/>
  <c r="K63" i="43"/>
  <c r="K57" i="43"/>
  <c r="K58" i="43"/>
  <c r="K59" i="43"/>
  <c r="K60" i="43"/>
  <c r="K56" i="43"/>
  <c r="G73" i="43"/>
  <c r="G72" i="43"/>
  <c r="G71" i="43"/>
  <c r="G70" i="43"/>
  <c r="G69" i="43"/>
  <c r="G68" i="43"/>
  <c r="G67" i="43"/>
  <c r="G66" i="43"/>
  <c r="G61" i="43"/>
  <c r="G60" i="43"/>
  <c r="G59" i="43"/>
  <c r="G58" i="43"/>
  <c r="G57" i="43"/>
  <c r="G56" i="43"/>
  <c r="G81" i="43"/>
  <c r="E46" i="43"/>
  <c r="E48" i="43"/>
  <c r="G48" i="43" s="1"/>
  <c r="G51" i="43"/>
  <c r="G49" i="43"/>
  <c r="L49" i="43"/>
  <c r="M49" i="43" s="1"/>
  <c r="N49" i="43" s="1"/>
  <c r="G47" i="43"/>
  <c r="E45" i="43"/>
  <c r="G45" i="43" s="1"/>
  <c r="L45" i="43" s="1"/>
  <c r="M45" i="43" s="1"/>
  <c r="N45" i="43" s="1"/>
  <c r="K31" i="43"/>
  <c r="L31" i="43" s="1"/>
  <c r="M31" i="43" s="1"/>
  <c r="N31" i="43" s="1"/>
  <c r="K13" i="43"/>
  <c r="G14" i="43"/>
  <c r="G13" i="43"/>
  <c r="G12" i="43"/>
  <c r="K931" i="43"/>
  <c r="AB923" i="43"/>
  <c r="K920" i="43"/>
  <c r="G920" i="43"/>
  <c r="L920" i="43"/>
  <c r="M920" i="43" s="1"/>
  <c r="N920" i="43" s="1"/>
  <c r="K919" i="43"/>
  <c r="G919" i="43"/>
  <c r="K918" i="43"/>
  <c r="L918" i="43" s="1"/>
  <c r="M918" i="43" s="1"/>
  <c r="G918" i="43"/>
  <c r="N918" i="43"/>
  <c r="K917" i="43"/>
  <c r="K916" i="43"/>
  <c r="G916" i="43"/>
  <c r="L916" i="43"/>
  <c r="M916" i="43" s="1"/>
  <c r="N916" i="43" s="1"/>
  <c r="K914" i="43"/>
  <c r="G914" i="43"/>
  <c r="K912" i="43"/>
  <c r="G912" i="43"/>
  <c r="K911" i="43"/>
  <c r="K909" i="43"/>
  <c r="G909" i="43"/>
  <c r="L909" i="43"/>
  <c r="M909" i="43" s="1"/>
  <c r="N909" i="43" s="1"/>
  <c r="K908" i="43"/>
  <c r="G908" i="43"/>
  <c r="L908" i="43" s="1"/>
  <c r="M908" i="43" s="1"/>
  <c r="N908" i="43" s="1"/>
  <c r="K907" i="43"/>
  <c r="G907" i="43"/>
  <c r="K906" i="43"/>
  <c r="E906" i="43"/>
  <c r="G906" i="43"/>
  <c r="L906" i="43" s="1"/>
  <c r="M906" i="43" s="1"/>
  <c r="N906" i="43" s="1"/>
  <c r="AB908" i="43"/>
  <c r="AB909" i="43"/>
  <c r="K905" i="43"/>
  <c r="G905" i="43"/>
  <c r="K902" i="43"/>
  <c r="G902" i="43"/>
  <c r="K901" i="43"/>
  <c r="G901" i="43"/>
  <c r="K900" i="43"/>
  <c r="G900" i="43"/>
  <c r="L900" i="43" s="1"/>
  <c r="M900" i="43" s="1"/>
  <c r="N900" i="43" s="1"/>
  <c r="K899" i="43"/>
  <c r="G899" i="43"/>
  <c r="K897" i="43"/>
  <c r="G897" i="43"/>
  <c r="K896" i="43"/>
  <c r="G896" i="43"/>
  <c r="K895" i="43"/>
  <c r="L895" i="43"/>
  <c r="M895" i="43"/>
  <c r="N895" i="43"/>
  <c r="I886" i="43"/>
  <c r="K886" i="43"/>
  <c r="G886" i="43"/>
  <c r="I885" i="43"/>
  <c r="K885" i="43" s="1"/>
  <c r="L885" i="43" s="1"/>
  <c r="G885" i="43"/>
  <c r="I884" i="43"/>
  <c r="K884" i="43" s="1"/>
  <c r="G884" i="43"/>
  <c r="I883" i="43"/>
  <c r="K883" i="43" s="1"/>
  <c r="G883" i="43"/>
  <c r="I882" i="43"/>
  <c r="K882" i="43" s="1"/>
  <c r="G882" i="43"/>
  <c r="I881" i="43"/>
  <c r="K881" i="43"/>
  <c r="G881" i="43"/>
  <c r="I879" i="43"/>
  <c r="K879" i="43" s="1"/>
  <c r="G879" i="43"/>
  <c r="AD880" i="43"/>
  <c r="I878" i="43"/>
  <c r="K878" i="43" s="1"/>
  <c r="G878" i="43"/>
  <c r="I877" i="43"/>
  <c r="K877" i="43"/>
  <c r="G877" i="43"/>
  <c r="I876" i="43"/>
  <c r="K876" i="43" s="1"/>
  <c r="G876" i="43"/>
  <c r="AD877" i="43"/>
  <c r="I875" i="43"/>
  <c r="K875" i="43" s="1"/>
  <c r="G875" i="43"/>
  <c r="I874" i="43"/>
  <c r="K874" i="43"/>
  <c r="G874" i="43"/>
  <c r="I873" i="43"/>
  <c r="K873" i="43" s="1"/>
  <c r="G873" i="43"/>
  <c r="AD874" i="43"/>
  <c r="I872" i="43"/>
  <c r="K872" i="43" s="1"/>
  <c r="G872" i="43"/>
  <c r="I871" i="43"/>
  <c r="K871" i="43" s="1"/>
  <c r="G871" i="43"/>
  <c r="I870" i="43"/>
  <c r="K870" i="43" s="1"/>
  <c r="G870" i="43"/>
  <c r="I869" i="43"/>
  <c r="K869" i="43"/>
  <c r="L869" i="43" s="1"/>
  <c r="G869" i="43"/>
  <c r="I868" i="43"/>
  <c r="K868" i="43"/>
  <c r="G868" i="43"/>
  <c r="I866" i="43"/>
  <c r="K866" i="43" s="1"/>
  <c r="G866" i="43"/>
  <c r="I865" i="43"/>
  <c r="K865" i="43" s="1"/>
  <c r="G865" i="43"/>
  <c r="I864" i="43"/>
  <c r="K864" i="43"/>
  <c r="L864" i="43" s="1"/>
  <c r="M864" i="43" s="1"/>
  <c r="G864" i="43"/>
  <c r="I863" i="43"/>
  <c r="K863" i="43"/>
  <c r="G863" i="43"/>
  <c r="I862" i="43"/>
  <c r="K862" i="43" s="1"/>
  <c r="G862" i="43"/>
  <c r="I861" i="43"/>
  <c r="K861" i="43"/>
  <c r="G861" i="43"/>
  <c r="I860" i="43"/>
  <c r="K860" i="43" s="1"/>
  <c r="L860" i="43" s="1"/>
  <c r="G860" i="43"/>
  <c r="I859" i="43"/>
  <c r="K859" i="43" s="1"/>
  <c r="G859" i="43"/>
  <c r="I858" i="43"/>
  <c r="K858" i="43"/>
  <c r="G858" i="43"/>
  <c r="I857" i="43"/>
  <c r="K857" i="43" s="1"/>
  <c r="G857" i="43"/>
  <c r="I856" i="43"/>
  <c r="K856" i="43" s="1"/>
  <c r="G856" i="43"/>
  <c r="I855" i="43"/>
  <c r="K855" i="43"/>
  <c r="G855" i="43"/>
  <c r="I854" i="43"/>
  <c r="K854" i="43"/>
  <c r="G854" i="43"/>
  <c r="I853" i="43"/>
  <c r="K853" i="43" s="1"/>
  <c r="G853" i="43"/>
  <c r="I852" i="43"/>
  <c r="K852" i="43"/>
  <c r="L852" i="43" s="1"/>
  <c r="M852" i="43" s="1"/>
  <c r="G852" i="43"/>
  <c r="I851" i="43"/>
  <c r="K851" i="43"/>
  <c r="G851" i="43"/>
  <c r="I850" i="43"/>
  <c r="K850" i="43" s="1"/>
  <c r="G850" i="43"/>
  <c r="I849" i="43"/>
  <c r="K849" i="43" s="1"/>
  <c r="G849" i="43"/>
  <c r="I848" i="43"/>
  <c r="K848" i="43" s="1"/>
  <c r="L848" i="43" s="1"/>
  <c r="G848" i="43"/>
  <c r="M848" i="43"/>
  <c r="I847" i="43"/>
  <c r="K847" i="43" s="1"/>
  <c r="G847" i="43"/>
  <c r="I846" i="43"/>
  <c r="K846" i="43" s="1"/>
  <c r="G846" i="43"/>
  <c r="I842" i="43"/>
  <c r="K842" i="43"/>
  <c r="G842" i="43"/>
  <c r="K841" i="43"/>
  <c r="G841" i="43"/>
  <c r="K840" i="43"/>
  <c r="G840" i="43"/>
  <c r="K839" i="43"/>
  <c r="G839" i="43"/>
  <c r="K838" i="43"/>
  <c r="G838" i="43"/>
  <c r="K837" i="43"/>
  <c r="G837" i="43"/>
  <c r="K836" i="43"/>
  <c r="G836" i="43"/>
  <c r="K829" i="43"/>
  <c r="G829" i="43"/>
  <c r="L829" i="43"/>
  <c r="M829" i="43" s="1"/>
  <c r="K828" i="43"/>
  <c r="G828" i="43"/>
  <c r="I825" i="43"/>
  <c r="K825" i="43" s="1"/>
  <c r="G825" i="43"/>
  <c r="K824" i="43"/>
  <c r="G824" i="43"/>
  <c r="K823" i="43"/>
  <c r="G823" i="43"/>
  <c r="K822" i="43"/>
  <c r="G822" i="43"/>
  <c r="K821" i="43"/>
  <c r="G821" i="43"/>
  <c r="K820" i="43"/>
  <c r="G820" i="43"/>
  <c r="K819" i="43"/>
  <c r="G819" i="43"/>
  <c r="K812" i="43"/>
  <c r="G812" i="43"/>
  <c r="K811" i="43"/>
  <c r="G811" i="43"/>
  <c r="I808" i="43"/>
  <c r="K808" i="43"/>
  <c r="G808" i="43"/>
  <c r="K807" i="43"/>
  <c r="G807" i="43"/>
  <c r="K806" i="43"/>
  <c r="G806" i="43"/>
  <c r="K805" i="43"/>
  <c r="G805" i="43"/>
  <c r="L805" i="43"/>
  <c r="M805" i="43" s="1"/>
  <c r="K804" i="43"/>
  <c r="G804" i="43"/>
  <c r="K803" i="43"/>
  <c r="L803" i="43" s="1"/>
  <c r="G803" i="43"/>
  <c r="K802" i="43"/>
  <c r="G802" i="43"/>
  <c r="G795" i="43"/>
  <c r="G794" i="43"/>
  <c r="I791" i="43"/>
  <c r="K791" i="43" s="1"/>
  <c r="G791" i="43"/>
  <c r="K790" i="43"/>
  <c r="G790" i="43"/>
  <c r="K789" i="43"/>
  <c r="G789" i="43"/>
  <c r="K788" i="43"/>
  <c r="G788" i="43"/>
  <c r="K787" i="43"/>
  <c r="G787" i="43"/>
  <c r="K786" i="43"/>
  <c r="G786" i="43"/>
  <c r="K785" i="43"/>
  <c r="G785" i="43"/>
  <c r="K778" i="43"/>
  <c r="G778" i="43"/>
  <c r="K777" i="43"/>
  <c r="G777" i="43"/>
  <c r="K750" i="43"/>
  <c r="L750" i="43" s="1"/>
  <c r="M750" i="43" s="1"/>
  <c r="G750" i="43"/>
  <c r="AB741" i="43"/>
  <c r="K739" i="43"/>
  <c r="AB740" i="43"/>
  <c r="K738" i="43"/>
  <c r="K737" i="43"/>
  <c r="G737" i="43"/>
  <c r="K736" i="43"/>
  <c r="K735" i="43"/>
  <c r="G735" i="43"/>
  <c r="K734" i="43"/>
  <c r="L734" i="43" s="1"/>
  <c r="K733" i="43"/>
  <c r="G733" i="43"/>
  <c r="K732" i="43"/>
  <c r="L732" i="43" s="1"/>
  <c r="M732" i="43" s="1"/>
  <c r="G732" i="43"/>
  <c r="K730" i="43"/>
  <c r="K729" i="43"/>
  <c r="L729" i="43" s="1"/>
  <c r="M729" i="43" s="1"/>
  <c r="G729" i="43"/>
  <c r="K726" i="43"/>
  <c r="G726" i="43"/>
  <c r="K725" i="43"/>
  <c r="L725" i="43"/>
  <c r="M725" i="43"/>
  <c r="K724" i="43"/>
  <c r="G724" i="43"/>
  <c r="K723" i="43"/>
  <c r="G723" i="43"/>
  <c r="K722" i="43"/>
  <c r="G722" i="43"/>
  <c r="AB723" i="43"/>
  <c r="AB724" i="43" s="1"/>
  <c r="K721" i="43"/>
  <c r="G721" i="43"/>
  <c r="K718" i="43"/>
  <c r="E718" i="43"/>
  <c r="G718" i="43"/>
  <c r="K717" i="43"/>
  <c r="G717" i="43"/>
  <c r="K716" i="43"/>
  <c r="G716" i="43"/>
  <c r="K715" i="43"/>
  <c r="G715" i="43"/>
  <c r="K713" i="43"/>
  <c r="G713" i="43"/>
  <c r="K712" i="43"/>
  <c r="G712" i="43"/>
  <c r="K711" i="43"/>
  <c r="G711" i="43"/>
  <c r="I702" i="43"/>
  <c r="K702" i="43" s="1"/>
  <c r="G702" i="43"/>
  <c r="I701" i="43"/>
  <c r="K701" i="43" s="1"/>
  <c r="G701" i="43"/>
  <c r="I700" i="43"/>
  <c r="K700" i="43"/>
  <c r="G700" i="43"/>
  <c r="I699" i="43"/>
  <c r="K699" i="43" s="1"/>
  <c r="G699" i="43"/>
  <c r="I698" i="43"/>
  <c r="K698" i="43" s="1"/>
  <c r="G698" i="43"/>
  <c r="I697" i="43"/>
  <c r="K697" i="43"/>
  <c r="G697" i="43"/>
  <c r="I696" i="43"/>
  <c r="K696" i="43"/>
  <c r="G696" i="43"/>
  <c r="I695" i="43"/>
  <c r="K695" i="43" s="1"/>
  <c r="G695" i="43"/>
  <c r="I694" i="43"/>
  <c r="K694" i="43"/>
  <c r="G694" i="43"/>
  <c r="I693" i="43"/>
  <c r="K693" i="43" s="1"/>
  <c r="G693" i="43"/>
  <c r="I692" i="43"/>
  <c r="K692" i="43"/>
  <c r="G692" i="43"/>
  <c r="I691" i="43"/>
  <c r="K691" i="43" s="1"/>
  <c r="G691" i="43"/>
  <c r="K667" i="43"/>
  <c r="L667" i="43" s="1"/>
  <c r="M667" i="43" s="1"/>
  <c r="N667" i="43"/>
  <c r="AB662" i="43"/>
  <c r="K660" i="43"/>
  <c r="G660" i="43"/>
  <c r="K659" i="43"/>
  <c r="G659" i="43"/>
  <c r="K658" i="43"/>
  <c r="G658" i="43"/>
  <c r="K657" i="43"/>
  <c r="L657" i="43" s="1"/>
  <c r="K655" i="43"/>
  <c r="G655" i="43"/>
  <c r="K654" i="43"/>
  <c r="G654" i="43"/>
  <c r="K652" i="43"/>
  <c r="G652" i="43"/>
  <c r="K651" i="43"/>
  <c r="L651" i="43" s="1"/>
  <c r="M651" i="43" s="1"/>
  <c r="K648" i="43"/>
  <c r="G648" i="43"/>
  <c r="K647" i="43"/>
  <c r="G647" i="43"/>
  <c r="K646" i="43"/>
  <c r="G646" i="43"/>
  <c r="K645" i="43"/>
  <c r="K644" i="43"/>
  <c r="G644" i="43"/>
  <c r="AB645" i="43"/>
  <c r="AB646" i="43" s="1"/>
  <c r="K643" i="43"/>
  <c r="G643" i="43"/>
  <c r="L643" i="43"/>
  <c r="M643" i="43"/>
  <c r="K640" i="43"/>
  <c r="G640" i="43"/>
  <c r="K639" i="43"/>
  <c r="G639" i="43"/>
  <c r="K638" i="43"/>
  <c r="G638" i="43"/>
  <c r="K637" i="43"/>
  <c r="L637" i="43" s="1"/>
  <c r="M637" i="43" s="1"/>
  <c r="G637" i="43"/>
  <c r="N637" i="43"/>
  <c r="K635" i="43"/>
  <c r="G635" i="43"/>
  <c r="K634" i="43"/>
  <c r="G634" i="43"/>
  <c r="L634" i="43" s="1"/>
  <c r="M634" i="43" s="1"/>
  <c r="K633" i="43"/>
  <c r="G633" i="43"/>
  <c r="AC631" i="43"/>
  <c r="I624" i="43"/>
  <c r="K624" i="43" s="1"/>
  <c r="G624" i="43"/>
  <c r="AD624" i="43"/>
  <c r="I623" i="43"/>
  <c r="K623" i="43" s="1"/>
  <c r="G623" i="43"/>
  <c r="I622" i="43"/>
  <c r="K622" i="43" s="1"/>
  <c r="G622" i="43"/>
  <c r="I621" i="43"/>
  <c r="K621" i="43" s="1"/>
  <c r="G621" i="43"/>
  <c r="I620" i="43"/>
  <c r="K620" i="43"/>
  <c r="G620" i="43"/>
  <c r="I619" i="43"/>
  <c r="K619" i="43" s="1"/>
  <c r="G619" i="43"/>
  <c r="I617" i="43"/>
  <c r="K617" i="43" s="1"/>
  <c r="G617" i="43"/>
  <c r="K616" i="43"/>
  <c r="L616" i="43"/>
  <c r="K615" i="43"/>
  <c r="L615" i="43" s="1"/>
  <c r="K614" i="43"/>
  <c r="G614" i="43"/>
  <c r="K589" i="43"/>
  <c r="G589" i="43"/>
  <c r="AB579" i="43"/>
  <c r="K578" i="43"/>
  <c r="K577" i="43"/>
  <c r="G577" i="43"/>
  <c r="AB577" i="43"/>
  <c r="K576" i="43"/>
  <c r="G576" i="43"/>
  <c r="K575" i="43"/>
  <c r="G575" i="43"/>
  <c r="K574" i="43"/>
  <c r="G574" i="43"/>
  <c r="K572" i="43"/>
  <c r="G572" i="43"/>
  <c r="L572" i="43" s="1"/>
  <c r="K571" i="43"/>
  <c r="G571" i="43"/>
  <c r="K569" i="43"/>
  <c r="G569" i="43"/>
  <c r="K568" i="43"/>
  <c r="G568" i="43"/>
  <c r="L568" i="43"/>
  <c r="K565" i="43"/>
  <c r="G565" i="43"/>
  <c r="K564" i="43"/>
  <c r="E564" i="43"/>
  <c r="G564" i="43" s="1"/>
  <c r="K563" i="43"/>
  <c r="AB563" i="43"/>
  <c r="AB564" i="43" s="1"/>
  <c r="K562" i="43"/>
  <c r="G562" i="43"/>
  <c r="K561" i="43"/>
  <c r="G561" i="43"/>
  <c r="K558" i="43"/>
  <c r="L558" i="43"/>
  <c r="M558" i="43"/>
  <c r="G558" i="43"/>
  <c r="K557" i="43"/>
  <c r="G557" i="43"/>
  <c r="K556" i="43"/>
  <c r="G556" i="43"/>
  <c r="K555" i="43"/>
  <c r="G555" i="43"/>
  <c r="K553" i="43"/>
  <c r="G553" i="43"/>
  <c r="K552" i="43"/>
  <c r="G552" i="43"/>
  <c r="K551" i="43"/>
  <c r="G551" i="43"/>
  <c r="AG546" i="43"/>
  <c r="I542" i="43"/>
  <c r="K542" i="43"/>
  <c r="G542" i="43"/>
  <c r="I541" i="43"/>
  <c r="K541" i="43" s="1"/>
  <c r="G541" i="43"/>
  <c r="I540" i="43"/>
  <c r="K540" i="43" s="1"/>
  <c r="G540" i="43"/>
  <c r="I539" i="43"/>
  <c r="K539" i="43"/>
  <c r="G539" i="43"/>
  <c r="I538" i="43"/>
  <c r="K538" i="43"/>
  <c r="G538" i="43"/>
  <c r="I537" i="43"/>
  <c r="K537" i="43" s="1"/>
  <c r="G537" i="43"/>
  <c r="I535" i="43"/>
  <c r="K535" i="43" s="1"/>
  <c r="G535" i="43"/>
  <c r="L535" i="43"/>
  <c r="M535" i="43" s="1"/>
  <c r="AD535" i="43"/>
  <c r="I534" i="43"/>
  <c r="K534" i="43"/>
  <c r="G534" i="43"/>
  <c r="I533" i="43"/>
  <c r="K533" i="43" s="1"/>
  <c r="G533" i="43"/>
  <c r="I532" i="43"/>
  <c r="K532" i="43" s="1"/>
  <c r="L532" i="43" s="1"/>
  <c r="G532" i="43"/>
  <c r="AD532" i="43"/>
  <c r="I531" i="43"/>
  <c r="K531" i="43" s="1"/>
  <c r="G531" i="43"/>
  <c r="I530" i="43"/>
  <c r="K530" i="43"/>
  <c r="G530" i="43"/>
  <c r="I529" i="43"/>
  <c r="K529" i="43"/>
  <c r="G529" i="43"/>
  <c r="AD529" i="43"/>
  <c r="I528" i="43"/>
  <c r="K528" i="43"/>
  <c r="G528" i="43"/>
  <c r="I527" i="43"/>
  <c r="K527" i="43" s="1"/>
  <c r="G527" i="43"/>
  <c r="I526" i="43"/>
  <c r="K526" i="43"/>
  <c r="G526" i="43"/>
  <c r="I525" i="43"/>
  <c r="K525" i="43"/>
  <c r="G525" i="43"/>
  <c r="I524" i="43"/>
  <c r="K524" i="43"/>
  <c r="G524" i="43"/>
  <c r="K523" i="43"/>
  <c r="L523" i="43" s="1"/>
  <c r="I522" i="43"/>
  <c r="K522" i="43" s="1"/>
  <c r="G522" i="43"/>
  <c r="I521" i="43"/>
  <c r="K521" i="43"/>
  <c r="G521" i="43"/>
  <c r="I520" i="43"/>
  <c r="K520" i="43" s="1"/>
  <c r="G520" i="43"/>
  <c r="I519" i="43"/>
  <c r="K519" i="43" s="1"/>
  <c r="G519" i="43"/>
  <c r="I518" i="43"/>
  <c r="K518" i="43" s="1"/>
  <c r="L518" i="43" s="1"/>
  <c r="G518" i="43"/>
  <c r="I517" i="43"/>
  <c r="K517" i="43"/>
  <c r="G517" i="43"/>
  <c r="I516" i="43"/>
  <c r="K516" i="43"/>
  <c r="G516" i="43"/>
  <c r="I515" i="43"/>
  <c r="K515" i="43" s="1"/>
  <c r="G515" i="43"/>
  <c r="I514" i="43"/>
  <c r="K514" i="43" s="1"/>
  <c r="G514" i="43"/>
  <c r="I513" i="43"/>
  <c r="K513" i="43"/>
  <c r="G513" i="43"/>
  <c r="I512" i="43"/>
  <c r="K512" i="43"/>
  <c r="G512" i="43"/>
  <c r="L512" i="43" s="1"/>
  <c r="I511" i="43"/>
  <c r="K511" i="43"/>
  <c r="G511" i="43"/>
  <c r="I510" i="43"/>
  <c r="K510" i="43" s="1"/>
  <c r="L510" i="43" s="1"/>
  <c r="M510" i="43" s="1"/>
  <c r="G510" i="43"/>
  <c r="I509" i="43"/>
  <c r="K509" i="43" s="1"/>
  <c r="L509" i="43" s="1"/>
  <c r="M509" i="43" s="1"/>
  <c r="G509" i="43"/>
  <c r="I508" i="43"/>
  <c r="K508" i="43"/>
  <c r="G508" i="43"/>
  <c r="I507" i="43"/>
  <c r="K507" i="43"/>
  <c r="G507" i="43"/>
  <c r="I506" i="43"/>
  <c r="K506" i="43" s="1"/>
  <c r="G506" i="43"/>
  <c r="I505" i="43"/>
  <c r="K505" i="43" s="1"/>
  <c r="G505" i="43"/>
  <c r="I504" i="43"/>
  <c r="K504" i="43"/>
  <c r="G504" i="43"/>
  <c r="I503" i="43"/>
  <c r="K503" i="43"/>
  <c r="G503" i="43"/>
  <c r="I502" i="43"/>
  <c r="K502" i="43" s="1"/>
  <c r="L502" i="43" s="1"/>
  <c r="G502" i="43"/>
  <c r="I501" i="43"/>
  <c r="K501" i="43"/>
  <c r="G501" i="43"/>
  <c r="I500" i="43"/>
  <c r="K500" i="43"/>
  <c r="G500" i="43"/>
  <c r="L500" i="43" s="1"/>
  <c r="I499" i="43"/>
  <c r="K499" i="43"/>
  <c r="G499" i="43"/>
  <c r="I498" i="43"/>
  <c r="K498" i="43" s="1"/>
  <c r="G498" i="43"/>
  <c r="I497" i="43"/>
  <c r="K497" i="43" s="1"/>
  <c r="G497" i="43"/>
  <c r="I496" i="43"/>
  <c r="K496" i="43"/>
  <c r="G496" i="43"/>
  <c r="I495" i="43"/>
  <c r="K495" i="43"/>
  <c r="G495" i="43"/>
  <c r="I494" i="43"/>
  <c r="K494" i="43" s="1"/>
  <c r="G494" i="43"/>
  <c r="I493" i="43"/>
  <c r="K493" i="43" s="1"/>
  <c r="G493" i="43"/>
  <c r="I492" i="43"/>
  <c r="K492" i="43"/>
  <c r="G492" i="43"/>
  <c r="I491" i="43"/>
  <c r="K491" i="43"/>
  <c r="G491" i="43"/>
  <c r="I490" i="43"/>
  <c r="K490" i="43" s="1"/>
  <c r="G490" i="43"/>
  <c r="I489" i="43"/>
  <c r="K489" i="43" s="1"/>
  <c r="L489" i="43" s="1"/>
  <c r="G489" i="43"/>
  <c r="I488" i="43"/>
  <c r="K488" i="43"/>
  <c r="G488" i="43"/>
  <c r="I487" i="43"/>
  <c r="K487" i="43"/>
  <c r="G487" i="43"/>
  <c r="I486" i="43"/>
  <c r="K486" i="43" s="1"/>
  <c r="G486" i="43"/>
  <c r="I485" i="43"/>
  <c r="K485" i="43" s="1"/>
  <c r="G485" i="43"/>
  <c r="I484" i="43"/>
  <c r="K484" i="43"/>
  <c r="L484" i="43" s="1"/>
  <c r="M484" i="43" s="1"/>
  <c r="G484" i="43"/>
  <c r="I483" i="43"/>
  <c r="K483" i="43" s="1"/>
  <c r="G483" i="43"/>
  <c r="I482" i="43"/>
  <c r="K482" i="43"/>
  <c r="G482" i="43"/>
  <c r="I481" i="43"/>
  <c r="K481" i="43"/>
  <c r="G481" i="43"/>
  <c r="I478" i="43"/>
  <c r="K478" i="43" s="1"/>
  <c r="G478" i="43"/>
  <c r="K477" i="43"/>
  <c r="G477" i="43"/>
  <c r="K476" i="43"/>
  <c r="G476" i="43"/>
  <c r="K475" i="43"/>
  <c r="G475" i="43"/>
  <c r="K474" i="43"/>
  <c r="G474" i="43"/>
  <c r="K473" i="43"/>
  <c r="G473" i="43"/>
  <c r="K472" i="43"/>
  <c r="G472" i="43"/>
  <c r="K465" i="43"/>
  <c r="G465" i="43"/>
  <c r="K464" i="43"/>
  <c r="G464" i="43"/>
  <c r="I461" i="43"/>
  <c r="K461" i="43" s="1"/>
  <c r="L461" i="43" s="1"/>
  <c r="G461" i="43"/>
  <c r="K460" i="43"/>
  <c r="G460" i="43"/>
  <c r="K459" i="43"/>
  <c r="G459" i="43"/>
  <c r="K458" i="43"/>
  <c r="G458" i="43"/>
  <c r="K457" i="43"/>
  <c r="G457" i="43"/>
  <c r="K456" i="43"/>
  <c r="G456" i="43"/>
  <c r="K455" i="43"/>
  <c r="G455" i="43"/>
  <c r="K448" i="43"/>
  <c r="G448" i="43"/>
  <c r="L448" i="43" s="1"/>
  <c r="M448" i="43" s="1"/>
  <c r="K447" i="43"/>
  <c r="G447" i="43"/>
  <c r="K444" i="43"/>
  <c r="G444" i="43"/>
  <c r="K443" i="43"/>
  <c r="G443" i="43"/>
  <c r="K442" i="43"/>
  <c r="G442" i="43"/>
  <c r="K441" i="43"/>
  <c r="G441" i="43"/>
  <c r="K440" i="43"/>
  <c r="G440" i="43"/>
  <c r="K439" i="43"/>
  <c r="G439" i="43"/>
  <c r="K438" i="43"/>
  <c r="G438" i="43"/>
  <c r="K431" i="43"/>
  <c r="G431" i="43"/>
  <c r="L431" i="43" s="1"/>
  <c r="M431" i="43" s="1"/>
  <c r="K430" i="43"/>
  <c r="G430" i="43"/>
  <c r="L430" i="43" s="1"/>
  <c r="M430" i="43" s="1"/>
  <c r="I426" i="43"/>
  <c r="K426" i="43"/>
  <c r="L426" i="43" s="1"/>
  <c r="M426" i="43" s="1"/>
  <c r="G426" i="43"/>
  <c r="K425" i="43"/>
  <c r="K424" i="43"/>
  <c r="K423" i="43"/>
  <c r="G423" i="43"/>
  <c r="I421" i="43"/>
  <c r="K421" i="43" s="1"/>
  <c r="L421" i="43" s="1"/>
  <c r="G421" i="43"/>
  <c r="K420" i="43"/>
  <c r="L420" i="43"/>
  <c r="M420" i="43" s="1"/>
  <c r="K383" i="43"/>
  <c r="G383" i="43"/>
  <c r="AB373" i="43"/>
  <c r="K372" i="43"/>
  <c r="G372" i="43"/>
  <c r="AB372" i="43"/>
  <c r="K371" i="43"/>
  <c r="K370" i="43"/>
  <c r="G370" i="43"/>
  <c r="K369" i="43"/>
  <c r="K368" i="43"/>
  <c r="G368" i="43"/>
  <c r="K366" i="43"/>
  <c r="G366" i="43"/>
  <c r="K365" i="43"/>
  <c r="G365" i="43"/>
  <c r="K363" i="43"/>
  <c r="G363" i="43"/>
  <c r="K362" i="43"/>
  <c r="L362" i="43" s="1"/>
  <c r="M362" i="43" s="1"/>
  <c r="G362" i="43"/>
  <c r="K359" i="43"/>
  <c r="G359" i="43"/>
  <c r="K358" i="43"/>
  <c r="G358" i="43"/>
  <c r="K357" i="43"/>
  <c r="G357" i="43"/>
  <c r="K356" i="43"/>
  <c r="G356" i="43"/>
  <c r="AB356" i="43"/>
  <c r="AB357" i="43" s="1"/>
  <c r="K355" i="43"/>
  <c r="G355" i="43"/>
  <c r="K352" i="43"/>
  <c r="G352" i="43"/>
  <c r="K351" i="43"/>
  <c r="G351" i="43"/>
  <c r="K350" i="43"/>
  <c r="G350" i="43"/>
  <c r="G349" i="43"/>
  <c r="K347" i="43"/>
  <c r="G347" i="43"/>
  <c r="K346" i="43"/>
  <c r="G346" i="43"/>
  <c r="K345" i="43"/>
  <c r="G345" i="43"/>
  <c r="L345" i="43" s="1"/>
  <c r="M345" i="43" s="1"/>
  <c r="AC341" i="43"/>
  <c r="AC342" i="43"/>
  <c r="I336" i="43"/>
  <c r="K336" i="43" s="1"/>
  <c r="E336" i="43"/>
  <c r="I335" i="43"/>
  <c r="K335" i="43" s="1"/>
  <c r="I334" i="43"/>
  <c r="K334" i="43"/>
  <c r="G334" i="43"/>
  <c r="I333" i="43"/>
  <c r="K333" i="43" s="1"/>
  <c r="E333" i="43"/>
  <c r="AD333" i="43"/>
  <c r="E332" i="43" s="1"/>
  <c r="G332" i="43" s="1"/>
  <c r="I332" i="43"/>
  <c r="K332" i="43"/>
  <c r="I331" i="43"/>
  <c r="K331" i="43" s="1"/>
  <c r="G331" i="43"/>
  <c r="I330" i="43"/>
  <c r="K330" i="43" s="1"/>
  <c r="E330" i="43"/>
  <c r="G330" i="43"/>
  <c r="I329" i="43"/>
  <c r="K329" i="43" s="1"/>
  <c r="I328" i="43"/>
  <c r="K328" i="43"/>
  <c r="G328" i="43"/>
  <c r="I327" i="43"/>
  <c r="K327" i="43" s="1"/>
  <c r="E327" i="43"/>
  <c r="G327" i="43"/>
  <c r="I326" i="43"/>
  <c r="K326" i="43" s="1"/>
  <c r="E326" i="43"/>
  <c r="G326" i="43"/>
  <c r="I325" i="43"/>
  <c r="K325" i="43" s="1"/>
  <c r="G325" i="43"/>
  <c r="K317" i="43"/>
  <c r="L317" i="43" s="1"/>
  <c r="G317" i="43"/>
  <c r="K316" i="43"/>
  <c r="G316" i="43"/>
  <c r="K313" i="43"/>
  <c r="G313" i="43"/>
  <c r="K312" i="43"/>
  <c r="G312" i="43"/>
  <c r="K311" i="43"/>
  <c r="L311" i="43"/>
  <c r="M311" i="43" s="1"/>
  <c r="K310" i="43"/>
  <c r="L310" i="43"/>
  <c r="K309" i="43"/>
  <c r="G309" i="43"/>
  <c r="K308" i="43"/>
  <c r="G308" i="43"/>
  <c r="K307" i="43"/>
  <c r="G307" i="43"/>
  <c r="K300" i="43"/>
  <c r="G300" i="43"/>
  <c r="K299" i="43"/>
  <c r="G299" i="43"/>
  <c r="K272" i="43"/>
  <c r="G272" i="43"/>
  <c r="AB262" i="43"/>
  <c r="K261" i="43"/>
  <c r="AC261" i="43"/>
  <c r="AB261" i="43"/>
  <c r="K260" i="43"/>
  <c r="G260" i="43"/>
  <c r="K259" i="43"/>
  <c r="G259" i="43"/>
  <c r="K258" i="43"/>
  <c r="G258" i="43"/>
  <c r="K257" i="43"/>
  <c r="G257" i="43"/>
  <c r="K256" i="43"/>
  <c r="G256" i="43"/>
  <c r="K255" i="43"/>
  <c r="K254" i="43"/>
  <c r="G254" i="43"/>
  <c r="K252" i="43"/>
  <c r="G252" i="43"/>
  <c r="K251" i="43"/>
  <c r="L251" i="43" s="1"/>
  <c r="M251" i="43" s="1"/>
  <c r="G251" i="43"/>
  <c r="K248" i="43"/>
  <c r="G248" i="43"/>
  <c r="K247" i="43"/>
  <c r="G247" i="43"/>
  <c r="K246" i="43"/>
  <c r="K245" i="43"/>
  <c r="G245" i="43"/>
  <c r="K244" i="43"/>
  <c r="G244" i="43"/>
  <c r="AB244" i="43"/>
  <c r="AB245" i="43" s="1"/>
  <c r="K243" i="43"/>
  <c r="G243" i="43"/>
  <c r="K240" i="43"/>
  <c r="G240" i="43"/>
  <c r="K239" i="43"/>
  <c r="G239" i="43"/>
  <c r="K238" i="43"/>
  <c r="G238" i="43"/>
  <c r="K237" i="43"/>
  <c r="G237" i="43"/>
  <c r="K235" i="43"/>
  <c r="G235" i="43"/>
  <c r="AB235" i="43"/>
  <c r="AE235" i="43"/>
  <c r="K234" i="43"/>
  <c r="G234" i="43"/>
  <c r="AE234" i="43"/>
  <c r="AB234" i="43"/>
  <c r="K233" i="43"/>
  <c r="G233" i="43"/>
  <c r="AC229" i="43"/>
  <c r="AC230" i="43"/>
  <c r="K224" i="43"/>
  <c r="E224" i="43"/>
  <c r="K223" i="43"/>
  <c r="K222" i="43"/>
  <c r="G222" i="43"/>
  <c r="K221" i="43"/>
  <c r="E221" i="43"/>
  <c r="G221" i="43"/>
  <c r="K220" i="43"/>
  <c r="G220" i="43"/>
  <c r="K219" i="43"/>
  <c r="G219" i="43"/>
  <c r="K218" i="43"/>
  <c r="E218" i="43"/>
  <c r="AD218" i="43"/>
  <c r="AD217" i="43"/>
  <c r="K217" i="43"/>
  <c r="G217" i="43"/>
  <c r="K216" i="43"/>
  <c r="G216" i="43"/>
  <c r="K215" i="43"/>
  <c r="E215" i="43"/>
  <c r="G215" i="43"/>
  <c r="K214" i="43"/>
  <c r="E214" i="43"/>
  <c r="G214" i="43" s="1"/>
  <c r="K213" i="43"/>
  <c r="G213" i="43"/>
  <c r="K211" i="43"/>
  <c r="G211" i="43"/>
  <c r="AD210" i="43"/>
  <c r="K210" i="43"/>
  <c r="G210" i="43"/>
  <c r="K209" i="43"/>
  <c r="G209" i="43"/>
  <c r="K208" i="43"/>
  <c r="G208" i="43"/>
  <c r="AD207" i="43"/>
  <c r="K207" i="43"/>
  <c r="G207" i="43"/>
  <c r="G206" i="43"/>
  <c r="L206" i="43" s="1"/>
  <c r="M206" i="43" s="1"/>
  <c r="N206" i="43" s="1"/>
  <c r="K205" i="43"/>
  <c r="G205" i="43"/>
  <c r="AD204" i="43"/>
  <c r="K204" i="43"/>
  <c r="G204" i="43"/>
  <c r="K203" i="43"/>
  <c r="G203" i="43"/>
  <c r="K202" i="43"/>
  <c r="G202" i="43"/>
  <c r="K201" i="43"/>
  <c r="G201" i="43"/>
  <c r="K200" i="43"/>
  <c r="L200" i="43" s="1"/>
  <c r="M200" i="43" s="1"/>
  <c r="N200" i="43" s="1"/>
  <c r="G200" i="43"/>
  <c r="K197" i="43"/>
  <c r="G197" i="43"/>
  <c r="K196" i="43"/>
  <c r="G196" i="43"/>
  <c r="K195" i="43"/>
  <c r="G195" i="43"/>
  <c r="K194" i="43"/>
  <c r="G194" i="43"/>
  <c r="K193" i="43"/>
  <c r="G193" i="43"/>
  <c r="K192" i="43"/>
  <c r="G192" i="43"/>
  <c r="K191" i="43"/>
  <c r="G191" i="43"/>
  <c r="K184" i="43"/>
  <c r="G184" i="43"/>
  <c r="K183" i="43"/>
  <c r="G183" i="43"/>
  <c r="K180" i="43"/>
  <c r="G180" i="43"/>
  <c r="K179" i="43"/>
  <c r="G179" i="43"/>
  <c r="K178" i="43"/>
  <c r="G178" i="43"/>
  <c r="K177" i="43"/>
  <c r="G177" i="43"/>
  <c r="K176" i="43"/>
  <c r="G176" i="43"/>
  <c r="K175" i="43"/>
  <c r="G175" i="43"/>
  <c r="K174" i="43"/>
  <c r="G174" i="43"/>
  <c r="K167" i="43"/>
  <c r="G167" i="43"/>
  <c r="K166" i="43"/>
  <c r="G166" i="43"/>
  <c r="K163" i="43"/>
  <c r="G163" i="43"/>
  <c r="K162" i="43"/>
  <c r="G162" i="43"/>
  <c r="K161" i="43"/>
  <c r="G161" i="43"/>
  <c r="K160" i="43"/>
  <c r="G160" i="43"/>
  <c r="K159" i="43"/>
  <c r="G159" i="43"/>
  <c r="K158" i="43"/>
  <c r="G158" i="43"/>
  <c r="K157" i="43"/>
  <c r="G157" i="43"/>
  <c r="K150" i="43"/>
  <c r="G150" i="43"/>
  <c r="K149" i="43"/>
  <c r="G149" i="43"/>
  <c r="K146" i="43"/>
  <c r="G146" i="43"/>
  <c r="K145" i="43"/>
  <c r="G145" i="43"/>
  <c r="K144" i="43"/>
  <c r="G144" i="43"/>
  <c r="K143" i="43"/>
  <c r="G143" i="43"/>
  <c r="K142" i="43"/>
  <c r="G142" i="43"/>
  <c r="K141" i="43"/>
  <c r="G141" i="43"/>
  <c r="K140" i="43"/>
  <c r="G140" i="43"/>
  <c r="K133" i="43"/>
  <c r="G133" i="43"/>
  <c r="K132" i="43"/>
  <c r="G132" i="43"/>
  <c r="K129" i="43"/>
  <c r="K128" i="43"/>
  <c r="G128" i="43"/>
  <c r="K127" i="43"/>
  <c r="G127" i="43"/>
  <c r="K126" i="43"/>
  <c r="G126" i="43"/>
  <c r="K125" i="43"/>
  <c r="G125" i="43"/>
  <c r="K124" i="43"/>
  <c r="G124" i="43"/>
  <c r="K123" i="43"/>
  <c r="G123" i="43"/>
  <c r="K116" i="43"/>
  <c r="G116" i="43"/>
  <c r="K115" i="43"/>
  <c r="G115" i="43"/>
  <c r="K112" i="43"/>
  <c r="G112" i="43"/>
  <c r="K111" i="43"/>
  <c r="G111" i="43"/>
  <c r="K110" i="43"/>
  <c r="G110" i="43"/>
  <c r="K109" i="43"/>
  <c r="G109" i="43"/>
  <c r="K108" i="43"/>
  <c r="G108" i="43"/>
  <c r="K107" i="43"/>
  <c r="G107" i="43"/>
  <c r="K106" i="43"/>
  <c r="G106" i="43"/>
  <c r="K99" i="43"/>
  <c r="G99" i="43"/>
  <c r="K98" i="43"/>
  <c r="G98" i="43"/>
  <c r="L98" i="43"/>
  <c r="M98" i="43" s="1"/>
  <c r="N98" i="43" s="1"/>
  <c r="K95" i="43"/>
  <c r="G95" i="43"/>
  <c r="K94" i="43"/>
  <c r="G94" i="43"/>
  <c r="K93" i="43"/>
  <c r="G93" i="43"/>
  <c r="K92" i="43"/>
  <c r="G92" i="43"/>
  <c r="K91" i="43"/>
  <c r="G91" i="43"/>
  <c r="K90" i="43"/>
  <c r="G90" i="43"/>
  <c r="K89" i="43"/>
  <c r="G89" i="43"/>
  <c r="K82" i="43"/>
  <c r="G82" i="43"/>
  <c r="K81" i="43"/>
  <c r="G54" i="43"/>
  <c r="G43" i="43"/>
  <c r="G40" i="43"/>
  <c r="L40" i="43"/>
  <c r="M40" i="43"/>
  <c r="N40" i="43" s="1"/>
  <c r="G38" i="43"/>
  <c r="G36" i="43"/>
  <c r="L36" i="43"/>
  <c r="M36" i="43" s="1"/>
  <c r="N36" i="43" s="1"/>
  <c r="G34" i="43"/>
  <c r="G33" i="43"/>
  <c r="L33" i="43" s="1"/>
  <c r="M33" i="43" s="1"/>
  <c r="N33" i="43" s="1"/>
  <c r="G30" i="43"/>
  <c r="L30" i="43" s="1"/>
  <c r="M30" i="43" s="1"/>
  <c r="N30" i="43" s="1"/>
  <c r="G27" i="43"/>
  <c r="G26" i="43"/>
  <c r="AC25" i="43"/>
  <c r="AD25" i="43"/>
  <c r="G25" i="43"/>
  <c r="L25" i="43" s="1"/>
  <c r="M25" i="43" s="1"/>
  <c r="N25" i="43" s="1"/>
  <c r="G22" i="43"/>
  <c r="G21" i="43"/>
  <c r="L21" i="43" s="1"/>
  <c r="M21" i="43" s="1"/>
  <c r="N21" i="43" s="1"/>
  <c r="G17" i="43"/>
  <c r="G16" i="43"/>
  <c r="G15" i="43"/>
  <c r="AD220" i="43"/>
  <c r="G407" i="43"/>
  <c r="AD330" i="43"/>
  <c r="E329" i="43"/>
  <c r="G329" i="43"/>
  <c r="G74" i="43"/>
  <c r="L74" i="43" s="1"/>
  <c r="M74" i="43" s="1"/>
  <c r="N74" i="43" s="1"/>
  <c r="E75" i="43"/>
  <c r="G75" i="43" s="1"/>
  <c r="G318" i="43"/>
  <c r="G319" i="43"/>
  <c r="G292" i="43"/>
  <c r="G293" i="43"/>
  <c r="G185" i="43"/>
  <c r="L185" i="43"/>
  <c r="M185" i="43" s="1"/>
  <c r="N185" i="43" s="1"/>
  <c r="E186" i="43"/>
  <c r="G186" i="43"/>
  <c r="G264" i="43"/>
  <c r="E266" i="43"/>
  <c r="G266" i="43"/>
  <c r="L266" i="43"/>
  <c r="M266" i="43" s="1"/>
  <c r="G301" i="43"/>
  <c r="G377" i="43"/>
  <c r="L883" i="43"/>
  <c r="L557" i="43"/>
  <c r="M557" i="43" s="1"/>
  <c r="L899" i="43"/>
  <c r="M899" i="43"/>
  <c r="N899" i="43" s="1"/>
  <c r="L581" i="43"/>
  <c r="M581" i="43"/>
  <c r="L602" i="43"/>
  <c r="M602" i="43" s="1"/>
  <c r="L604" i="43"/>
  <c r="M604" i="43"/>
  <c r="L595" i="43"/>
  <c r="M595" i="43" s="1"/>
  <c r="L945" i="43"/>
  <c r="M945" i="43"/>
  <c r="N945" i="43"/>
  <c r="L555" i="43"/>
  <c r="L594" i="43"/>
  <c r="M594" i="43"/>
  <c r="L596" i="43"/>
  <c r="L894" i="43"/>
  <c r="L598" i="43"/>
  <c r="M598" i="43"/>
  <c r="L525" i="43"/>
  <c r="L692" i="43"/>
  <c r="M692" i="43" s="1"/>
  <c r="M592" i="43"/>
  <c r="N592" i="43"/>
  <c r="M616" i="43"/>
  <c r="N616" i="43"/>
  <c r="Y708" i="43"/>
  <c r="L299" i="43"/>
  <c r="L456" i="43"/>
  <c r="M456" i="43" s="1"/>
  <c r="L472" i="43"/>
  <c r="M472" i="43"/>
  <c r="L474" i="43"/>
  <c r="L540" i="43"/>
  <c r="M540" i="43" s="1"/>
  <c r="L542" i="43"/>
  <c r="M542" i="43"/>
  <c r="L589" i="43"/>
  <c r="L724" i="43"/>
  <c r="M724" i="43"/>
  <c r="L735" i="43"/>
  <c r="M735" i="43" s="1"/>
  <c r="L786" i="43"/>
  <c r="L819" i="43"/>
  <c r="M819" i="43"/>
  <c r="L846" i="43"/>
  <c r="M846" i="43"/>
  <c r="L856" i="43"/>
  <c r="M856" i="43"/>
  <c r="L917" i="43"/>
  <c r="M917" i="43"/>
  <c r="N917" i="43"/>
  <c r="L919" i="43"/>
  <c r="M919" i="43" s="1"/>
  <c r="N919" i="43" s="1"/>
  <c r="L550" i="43"/>
  <c r="M550" i="43"/>
  <c r="L573" i="43"/>
  <c r="M573" i="43"/>
  <c r="L584" i="43"/>
  <c r="M584" i="43"/>
  <c r="L580" i="43"/>
  <c r="M580" i="43"/>
  <c r="L599" i="43"/>
  <c r="L605" i="43"/>
  <c r="M605" i="43" s="1"/>
  <c r="L937" i="43"/>
  <c r="M937" i="43"/>
  <c r="N937" i="43"/>
  <c r="R217" i="44"/>
  <c r="L246" i="43"/>
  <c r="L447" i="43"/>
  <c r="M447" i="43"/>
  <c r="L620" i="43"/>
  <c r="M620" i="43"/>
  <c r="L645" i="43"/>
  <c r="M645" i="43" s="1"/>
  <c r="L647" i="43"/>
  <c r="L723" i="43"/>
  <c r="M723" i="43" s="1"/>
  <c r="L787" i="43"/>
  <c r="M787" i="43"/>
  <c r="L802" i="43"/>
  <c r="M802" i="43" s="1"/>
  <c r="L820" i="43"/>
  <c r="M820" i="43"/>
  <c r="L881" i="43"/>
  <c r="M881" i="43"/>
  <c r="L911" i="43"/>
  <c r="M911" i="43"/>
  <c r="N911" i="43" s="1"/>
  <c r="L12" i="43"/>
  <c r="M12" i="43"/>
  <c r="N12" i="43"/>
  <c r="L61" i="43"/>
  <c r="M61" i="43"/>
  <c r="N61" i="43"/>
  <c r="L188" i="43"/>
  <c r="M188" i="43" s="1"/>
  <c r="N188" i="43" s="1"/>
  <c r="L285" i="43"/>
  <c r="L305" i="43"/>
  <c r="M305" i="43" s="1"/>
  <c r="L385" i="43"/>
  <c r="M385" i="43"/>
  <c r="L400" i="43"/>
  <c r="M400" i="43" s="1"/>
  <c r="G333" i="43"/>
  <c r="L764" i="43"/>
  <c r="M764" i="43"/>
  <c r="L796" i="43"/>
  <c r="M796" i="43"/>
  <c r="L834" i="43"/>
  <c r="L949" i="43"/>
  <c r="M949" i="43" s="1"/>
  <c r="N949" i="43" s="1"/>
  <c r="L928" i="43"/>
  <c r="M928" i="43"/>
  <c r="L933" i="43"/>
  <c r="M933" i="43"/>
  <c r="N933" i="43"/>
  <c r="L319" i="43"/>
  <c r="M319" i="43" s="1"/>
  <c r="L137" i="43"/>
  <c r="M137" i="43"/>
  <c r="N137" i="43" s="1"/>
  <c r="L276" i="43"/>
  <c r="L280" i="43"/>
  <c r="N280" i="43" s="1"/>
  <c r="M280" i="43"/>
  <c r="L274" i="43"/>
  <c r="M274" i="43"/>
  <c r="L278" i="43"/>
  <c r="L287" i="43"/>
  <c r="M287" i="43"/>
  <c r="L323" i="43"/>
  <c r="M323" i="43"/>
  <c r="L387" i="43"/>
  <c r="L65" i="43"/>
  <c r="M65" i="43"/>
  <c r="N65" i="43"/>
  <c r="L587" i="43"/>
  <c r="L612" i="43"/>
  <c r="M612" i="43"/>
  <c r="L632" i="43"/>
  <c r="M632" i="43" s="1"/>
  <c r="L38" i="43"/>
  <c r="M38" i="43"/>
  <c r="N38" i="43" s="1"/>
  <c r="L54" i="43"/>
  <c r="M54" i="43"/>
  <c r="N54" i="43"/>
  <c r="L380" i="43"/>
  <c r="M380" i="43"/>
  <c r="N380" i="43"/>
  <c r="L952" i="43"/>
  <c r="M952" i="43" s="1"/>
  <c r="N952" i="43" s="1"/>
  <c r="L924" i="43"/>
  <c r="M924" i="43"/>
  <c r="N924" i="43" s="1"/>
  <c r="L60" i="43"/>
  <c r="M60" i="43"/>
  <c r="N60" i="43"/>
  <c r="L237" i="43"/>
  <c r="M237" i="43"/>
  <c r="L300" i="43"/>
  <c r="M300" i="43"/>
  <c r="L347" i="43"/>
  <c r="L352" i="43"/>
  <c r="L423" i="43"/>
  <c r="N423" i="43" s="1"/>
  <c r="M423" i="43"/>
  <c r="L439" i="43"/>
  <c r="M439" i="43"/>
  <c r="L441" i="43"/>
  <c r="M441" i="43" s="1"/>
  <c r="L443" i="43"/>
  <c r="L465" i="43"/>
  <c r="M465" i="43" s="1"/>
  <c r="L473" i="43"/>
  <c r="M473" i="43"/>
  <c r="N473" i="43"/>
  <c r="L344" i="43"/>
  <c r="Z619" i="43"/>
  <c r="Y550" i="43"/>
  <c r="L368" i="43"/>
  <c r="M368" i="43" s="1"/>
  <c r="L370" i="43"/>
  <c r="N370" i="43" s="1"/>
  <c r="M370" i="43"/>
  <c r="L477" i="43"/>
  <c r="M477" i="43"/>
  <c r="L487" i="43"/>
  <c r="M487" i="43" s="1"/>
  <c r="L495" i="43"/>
  <c r="M495" i="43" s="1"/>
  <c r="L503" i="43"/>
  <c r="L507" i="43"/>
  <c r="N507" i="43" s="1"/>
  <c r="M507" i="43"/>
  <c r="L521" i="43"/>
  <c r="M521" i="43" s="1"/>
  <c r="L551" i="43"/>
  <c r="N551" i="43" s="1"/>
  <c r="M551" i="43"/>
  <c r="L553" i="43"/>
  <c r="M553" i="43"/>
  <c r="L562" i="43"/>
  <c r="M562" i="43" s="1"/>
  <c r="L569" i="43"/>
  <c r="M569" i="43"/>
  <c r="N569" i="43"/>
  <c r="L575" i="43"/>
  <c r="M575" i="43"/>
  <c r="L614" i="43"/>
  <c r="M614" i="43"/>
  <c r="L622" i="43"/>
  <c r="M622" i="43"/>
  <c r="N622" i="43"/>
  <c r="L633" i="43"/>
  <c r="L638" i="43"/>
  <c r="M638" i="43"/>
  <c r="N638" i="43"/>
  <c r="L640" i="43"/>
  <c r="L646" i="43"/>
  <c r="M646" i="43"/>
  <c r="L652" i="43"/>
  <c r="M652" i="43"/>
  <c r="L691" i="43"/>
  <c r="M691" i="43"/>
  <c r="L697" i="43"/>
  <c r="N697" i="43" s="1"/>
  <c r="M697" i="43"/>
  <c r="L699" i="43"/>
  <c r="M699" i="43"/>
  <c r="L711" i="43"/>
  <c r="L713" i="43"/>
  <c r="M713" i="43"/>
  <c r="L736" i="43"/>
  <c r="L738" i="43"/>
  <c r="M738" i="43" s="1"/>
  <c r="L777" i="43"/>
  <c r="M777" i="43"/>
  <c r="L785" i="43"/>
  <c r="M785" i="43"/>
  <c r="L789" i="43"/>
  <c r="M789" i="43"/>
  <c r="L804" i="43"/>
  <c r="M804" i="43"/>
  <c r="L806" i="43"/>
  <c r="M806" i="43"/>
  <c r="L812" i="43"/>
  <c r="M812" i="43"/>
  <c r="L822" i="43"/>
  <c r="N822" i="43" s="1"/>
  <c r="M822" i="43"/>
  <c r="L824" i="43"/>
  <c r="M824" i="43"/>
  <c r="N824" i="43"/>
  <c r="L828" i="43"/>
  <c r="M828" i="43"/>
  <c r="L836" i="43"/>
  <c r="M836" i="43"/>
  <c r="L838" i="43"/>
  <c r="M838" i="43"/>
  <c r="N838" i="43"/>
  <c r="L840" i="43"/>
  <c r="M840" i="43" s="1"/>
  <c r="L842" i="43"/>
  <c r="L849" i="43"/>
  <c r="M849" i="43"/>
  <c r="L853" i="43"/>
  <c r="L870" i="43"/>
  <c r="L886" i="43"/>
  <c r="M886" i="43"/>
  <c r="L896" i="43"/>
  <c r="M896" i="43"/>
  <c r="N896" i="43"/>
  <c r="L901" i="43"/>
  <c r="M901" i="43" s="1"/>
  <c r="N901" i="43" s="1"/>
  <c r="L912" i="43"/>
  <c r="L914" i="43"/>
  <c r="M914" i="43" s="1"/>
  <c r="N914" i="43" s="1"/>
  <c r="L100" i="43"/>
  <c r="M100" i="43"/>
  <c r="N100" i="43" s="1"/>
  <c r="L135" i="43"/>
  <c r="M135" i="43"/>
  <c r="N135" i="43"/>
  <c r="L169" i="43"/>
  <c r="M169" i="43"/>
  <c r="N169" i="43"/>
  <c r="L374" i="43"/>
  <c r="M374" i="43" s="1"/>
  <c r="L375" i="43"/>
  <c r="M375" i="43"/>
  <c r="L77" i="43"/>
  <c r="M77" i="43"/>
  <c r="N77" i="43"/>
  <c r="L232" i="43"/>
  <c r="M232" i="43" s="1"/>
  <c r="L609" i="43"/>
  <c r="L367" i="43"/>
  <c r="N367" i="43" s="1"/>
  <c r="M367" i="43"/>
  <c r="L398" i="43"/>
  <c r="L410" i="43"/>
  <c r="N410" i="43" s="1"/>
  <c r="M410" i="43"/>
  <c r="L433" i="43"/>
  <c r="M433" i="43"/>
  <c r="N433" i="43"/>
  <c r="L450" i="43"/>
  <c r="M450" i="43"/>
  <c r="L467" i="43"/>
  <c r="M467" i="43"/>
  <c r="L554" i="43"/>
  <c r="L360" i="43"/>
  <c r="M360" i="43"/>
  <c r="L603" i="43"/>
  <c r="M603" i="43" s="1"/>
  <c r="L631" i="43"/>
  <c r="M631" i="43"/>
  <c r="N631" i="43"/>
  <c r="L664" i="43"/>
  <c r="L683" i="43"/>
  <c r="M683" i="43"/>
  <c r="L684" i="43"/>
  <c r="L669" i="43"/>
  <c r="L688" i="43"/>
  <c r="M688" i="43" s="1"/>
  <c r="L686" i="43"/>
  <c r="L710" i="43"/>
  <c r="M710" i="43"/>
  <c r="L892" i="43"/>
  <c r="L727" i="43"/>
  <c r="L743" i="43"/>
  <c r="M743" i="43"/>
  <c r="L758" i="43"/>
  <c r="M758" i="43"/>
  <c r="L769" i="43"/>
  <c r="M769" i="43"/>
  <c r="L771" i="43"/>
  <c r="M771" i="43"/>
  <c r="N771" i="43"/>
  <c r="L436" i="43"/>
  <c r="L453" i="43"/>
  <c r="M453" i="43"/>
  <c r="L783" i="43"/>
  <c r="L795" i="43"/>
  <c r="M795" i="43"/>
  <c r="N795" i="43"/>
  <c r="L799" i="43"/>
  <c r="M799" i="43"/>
  <c r="N799" i="43"/>
  <c r="L814" i="43"/>
  <c r="L817" i="43"/>
  <c r="M817" i="43"/>
  <c r="L831" i="43"/>
  <c r="M831" i="43"/>
  <c r="L230" i="43"/>
  <c r="L379" i="43"/>
  <c r="M379" i="43"/>
  <c r="L386" i="43"/>
  <c r="M386" i="43" s="1"/>
  <c r="L679" i="43"/>
  <c r="L670" i="43"/>
  <c r="M670" i="43"/>
  <c r="L756" i="43"/>
  <c r="M756" i="43"/>
  <c r="G218" i="43"/>
  <c r="L424" i="43"/>
  <c r="L779" i="43"/>
  <c r="M779" i="43"/>
  <c r="L951" i="43"/>
  <c r="M951" i="43"/>
  <c r="N951" i="43"/>
  <c r="L931" i="43"/>
  <c r="M931" i="43" s="1"/>
  <c r="N931" i="43" s="1"/>
  <c r="L851" i="43"/>
  <c r="M851" i="43"/>
  <c r="L859" i="43"/>
  <c r="L865" i="43"/>
  <c r="L247" i="43"/>
  <c r="M247" i="43"/>
  <c r="L254" i="43"/>
  <c r="M254" i="43"/>
  <c r="L260" i="43"/>
  <c r="L316" i="43"/>
  <c r="M316" i="43" s="1"/>
  <c r="L365" i="43"/>
  <c r="M365" i="43"/>
  <c r="L383" i="43"/>
  <c r="L442" i="43"/>
  <c r="L655" i="43"/>
  <c r="M655" i="43"/>
  <c r="L658" i="43"/>
  <c r="L660" i="43"/>
  <c r="M660" i="43"/>
  <c r="L693" i="43"/>
  <c r="L695" i="43"/>
  <c r="L716" i="43"/>
  <c r="M716" i="43" s="1"/>
  <c r="N716" i="43" s="1"/>
  <c r="L726" i="43"/>
  <c r="M726" i="43"/>
  <c r="N726" i="43"/>
  <c r="L778" i="43"/>
  <c r="M778" i="43" s="1"/>
  <c r="L811" i="43"/>
  <c r="L823" i="43"/>
  <c r="M823" i="43"/>
  <c r="L837" i="43"/>
  <c r="M837" i="43"/>
  <c r="L839" i="43"/>
  <c r="L854" i="43"/>
  <c r="L862" i="43"/>
  <c r="M862" i="43"/>
  <c r="N862" i="43"/>
  <c r="L871" i="43"/>
  <c r="M871" i="43" s="1"/>
  <c r="L84" i="43"/>
  <c r="M84" i="43"/>
  <c r="N84" i="43"/>
  <c r="L154" i="43"/>
  <c r="M154" i="43"/>
  <c r="N154" i="43"/>
  <c r="L294" i="43"/>
  <c r="L322" i="43"/>
  <c r="M322" i="43"/>
  <c r="L413" i="43"/>
  <c r="M413" i="43"/>
  <c r="L782" i="43"/>
  <c r="M782" i="43"/>
  <c r="N782" i="43"/>
  <c r="L392" i="43"/>
  <c r="M392" i="43"/>
  <c r="L396" i="43"/>
  <c r="L393" i="43"/>
  <c r="M393" i="43"/>
  <c r="L397" i="43"/>
  <c r="L402" i="43"/>
  <c r="M402" i="43" s="1"/>
  <c r="N402" i="43" s="1"/>
  <c r="L406" i="43"/>
  <c r="M406" i="43"/>
  <c r="N406" i="43"/>
  <c r="L414" i="43"/>
  <c r="L81" i="43"/>
  <c r="M81" i="43"/>
  <c r="N81" i="43"/>
  <c r="L301" i="43"/>
  <c r="L391" i="43"/>
  <c r="M391" i="43"/>
  <c r="L395" i="43"/>
  <c r="M395" i="43" s="1"/>
  <c r="N395" i="43" s="1"/>
  <c r="L404" i="43"/>
  <c r="M404" i="43"/>
  <c r="N404" i="43"/>
  <c r="L408" i="43"/>
  <c r="M408" i="43" s="1"/>
  <c r="L412" i="43"/>
  <c r="M412" i="43"/>
  <c r="N412" i="43"/>
  <c r="O59" i="44"/>
  <c r="M57" i="44" s="1"/>
  <c r="N595" i="43"/>
  <c r="L753" i="43"/>
  <c r="M753" i="43" s="1"/>
  <c r="N753" i="43" s="1"/>
  <c r="L356" i="43"/>
  <c r="M356" i="43"/>
  <c r="L133" i="43"/>
  <c r="M133" i="43" s="1"/>
  <c r="N133" i="43" s="1"/>
  <c r="L868" i="43"/>
  <c r="N868" i="43" s="1"/>
  <c r="M868" i="43"/>
  <c r="L709" i="43"/>
  <c r="M709" i="43"/>
  <c r="N709" i="43"/>
  <c r="L816" i="43"/>
  <c r="M816" i="43" s="1"/>
  <c r="L675" i="43"/>
  <c r="L680" i="43"/>
  <c r="M680" i="43"/>
  <c r="L671" i="43"/>
  <c r="M671" i="43"/>
  <c r="N671" i="43"/>
  <c r="L757" i="43"/>
  <c r="L99" i="43"/>
  <c r="M99" i="43"/>
  <c r="N99" i="43"/>
  <c r="L83" i="43"/>
  <c r="M83" i="43" s="1"/>
  <c r="N83" i="43" s="1"/>
  <c r="L332" i="43"/>
  <c r="M332" i="43"/>
  <c r="L481" i="43"/>
  <c r="N575" i="43"/>
  <c r="L882" i="43"/>
  <c r="L884" i="43"/>
  <c r="M884" i="43"/>
  <c r="L875" i="43"/>
  <c r="L103" i="43"/>
  <c r="M103" i="43" s="1"/>
  <c r="N103" i="43"/>
  <c r="L152" i="43"/>
  <c r="M152" i="43" s="1"/>
  <c r="N152" i="43" s="1"/>
  <c r="L155" i="43"/>
  <c r="M155" i="43"/>
  <c r="N155" i="43"/>
  <c r="L168" i="43"/>
  <c r="M168" i="43"/>
  <c r="N168" i="43"/>
  <c r="L539" i="43"/>
  <c r="M539" i="43" s="1"/>
  <c r="L541" i="43"/>
  <c r="M541" i="43" s="1"/>
  <c r="N541" i="43" s="1"/>
  <c r="L700" i="43"/>
  <c r="M700" i="43" s="1"/>
  <c r="N700" i="43"/>
  <c r="N448" i="43"/>
  <c r="L486" i="43"/>
  <c r="M486" i="43" s="1"/>
  <c r="N486" i="43"/>
  <c r="L514" i="43"/>
  <c r="M514" i="43" s="1"/>
  <c r="N828" i="43"/>
  <c r="L508" i="43"/>
  <c r="L528" i="43"/>
  <c r="M528" i="43" s="1"/>
  <c r="L533" i="43"/>
  <c r="M533" i="43"/>
  <c r="L127" i="43"/>
  <c r="M127" i="43" s="1"/>
  <c r="N127" i="43" s="1"/>
  <c r="L619" i="43"/>
  <c r="M619" i="43"/>
  <c r="N619" i="43" s="1"/>
  <c r="L623" i="43"/>
  <c r="L492" i="43"/>
  <c r="M492" i="43"/>
  <c r="N492" i="43" s="1"/>
  <c r="L207" i="43"/>
  <c r="M207" i="43" s="1"/>
  <c r="N207" i="43"/>
  <c r="L325" i="43"/>
  <c r="L497" i="43"/>
  <c r="L520" i="43"/>
  <c r="L530" i="43"/>
  <c r="M530" i="43"/>
  <c r="L82" i="43"/>
  <c r="M82" i="43" s="1"/>
  <c r="N82" i="43"/>
  <c r="L112" i="43"/>
  <c r="M112" i="43"/>
  <c r="N112" i="43" s="1"/>
  <c r="L116" i="43"/>
  <c r="M116" i="43"/>
  <c r="N116" i="43"/>
  <c r="L357" i="43"/>
  <c r="L366" i="43"/>
  <c r="M366" i="43"/>
  <c r="L438" i="43"/>
  <c r="M438" i="43" s="1"/>
  <c r="L537" i="43"/>
  <c r="L571" i="43"/>
  <c r="L624" i="43"/>
  <c r="M624" i="43" s="1"/>
  <c r="L857" i="43"/>
  <c r="M857" i="43"/>
  <c r="L893" i="43"/>
  <c r="M893" i="43" s="1"/>
  <c r="L371" i="43"/>
  <c r="L861" i="43"/>
  <c r="L748" i="43"/>
  <c r="M748" i="43" s="1"/>
  <c r="N748" i="43" s="1"/>
  <c r="L772" i="43"/>
  <c r="M772" i="43"/>
  <c r="L309" i="43"/>
  <c r="M309" i="43"/>
  <c r="N309" i="43"/>
  <c r="L355" i="43"/>
  <c r="M461" i="43"/>
  <c r="N461" i="43" s="1"/>
  <c r="L876" i="43"/>
  <c r="M876" i="43" s="1"/>
  <c r="L905" i="43"/>
  <c r="M905" i="43"/>
  <c r="N905" i="43" s="1"/>
  <c r="L144" i="43"/>
  <c r="M144" i="43"/>
  <c r="N144" i="43"/>
  <c r="L162" i="43"/>
  <c r="M162" i="43" s="1"/>
  <c r="N162" i="43"/>
  <c r="L166" i="43"/>
  <c r="M166" i="43"/>
  <c r="N166" i="43" s="1"/>
  <c r="L221" i="43"/>
  <c r="M221" i="43"/>
  <c r="N221" i="43"/>
  <c r="L334" i="43"/>
  <c r="L143" i="43"/>
  <c r="M143" i="43"/>
  <c r="N143" i="43"/>
  <c r="M291" i="43"/>
  <c r="N291" i="43"/>
  <c r="M512" i="43"/>
  <c r="N512" i="43"/>
  <c r="M842" i="43"/>
  <c r="N842" i="43" s="1"/>
  <c r="N769" i="43"/>
  <c r="M503" i="43"/>
  <c r="N503" i="43"/>
  <c r="L329" i="43"/>
  <c r="M329" i="43"/>
  <c r="L58" i="43"/>
  <c r="M58" i="43"/>
  <c r="N58" i="43" s="1"/>
  <c r="L17" i="43"/>
  <c r="M17" i="43"/>
  <c r="N17" i="43"/>
  <c r="L760" i="43"/>
  <c r="L359" i="43"/>
  <c r="L444" i="43"/>
  <c r="M444" i="43"/>
  <c r="L574" i="43"/>
  <c r="M574" i="43" s="1"/>
  <c r="N574" i="43" s="1"/>
  <c r="G46" i="43"/>
  <c r="L752" i="43"/>
  <c r="M752" i="43" s="1"/>
  <c r="L233" i="43"/>
  <c r="M233" i="43"/>
  <c r="L825" i="43"/>
  <c r="M825" i="43" s="1"/>
  <c r="N825" i="43" s="1"/>
  <c r="L950" i="43"/>
  <c r="L111" i="43"/>
  <c r="M111" i="43" s="1"/>
  <c r="N111" i="43" s="1"/>
  <c r="L714" i="43"/>
  <c r="M714" i="43" s="1"/>
  <c r="L674" i="43"/>
  <c r="M674" i="43"/>
  <c r="L346" i="43"/>
  <c r="M346" i="43" s="1"/>
  <c r="N346" i="43" s="1"/>
  <c r="L307" i="43"/>
  <c r="M582" i="44"/>
  <c r="N430" i="43"/>
  <c r="M525" i="43"/>
  <c r="N525" i="43" s="1"/>
  <c r="N604" i="43"/>
  <c r="N585" i="43"/>
  <c r="N829" i="43"/>
  <c r="N864" i="43"/>
  <c r="N426" i="43"/>
  <c r="N651" i="43"/>
  <c r="N660" i="43"/>
  <c r="N732" i="43"/>
  <c r="N509" i="43"/>
  <c r="N646" i="43"/>
  <c r="N871" i="43"/>
  <c r="N386" i="43"/>
  <c r="N886" i="43"/>
  <c r="M325" i="43"/>
  <c r="N325" i="43"/>
  <c r="N584" i="43"/>
  <c r="L455" i="43"/>
  <c r="N455" i="43" s="1"/>
  <c r="M455" i="43"/>
  <c r="L459" i="43"/>
  <c r="L475" i="43"/>
  <c r="L483" i="43"/>
  <c r="M483" i="43" s="1"/>
  <c r="L491" i="43"/>
  <c r="L499" i="43"/>
  <c r="M499" i="43" s="1"/>
  <c r="L505" i="43"/>
  <c r="L739" i="43"/>
  <c r="M739" i="43" s="1"/>
  <c r="L717" i="43"/>
  <c r="M717" i="43"/>
  <c r="L721" i="43"/>
  <c r="M721" i="43" s="1"/>
  <c r="N721" i="43" s="1"/>
  <c r="L733" i="43"/>
  <c r="M733" i="43"/>
  <c r="L874" i="43"/>
  <c r="M874" i="43" s="1"/>
  <c r="N874" i="43" s="1"/>
  <c r="L654" i="43"/>
  <c r="M654" i="43"/>
  <c r="N654" i="43" s="1"/>
  <c r="L267" i="43"/>
  <c r="M267" i="43"/>
  <c r="N267" i="43"/>
  <c r="L515" i="43"/>
  <c r="L517" i="43"/>
  <c r="L663" i="43"/>
  <c r="M663" i="43"/>
  <c r="N663" i="43" s="1"/>
  <c r="L677" i="43"/>
  <c r="L682" i="43"/>
  <c r="M682" i="43"/>
  <c r="L635" i="43"/>
  <c r="M635" i="43" s="1"/>
  <c r="L659" i="43"/>
  <c r="M659" i="43" s="1"/>
  <c r="N659" i="43" s="1"/>
  <c r="L696" i="43"/>
  <c r="M696" i="43"/>
  <c r="N696" i="43"/>
  <c r="L698" i="43"/>
  <c r="L256" i="43"/>
  <c r="L576" i="43"/>
  <c r="M576" i="43"/>
  <c r="N576" i="43" s="1"/>
  <c r="L563" i="43"/>
  <c r="L578" i="43"/>
  <c r="M578" i="43"/>
  <c r="N578" i="43" s="1"/>
  <c r="L597" i="43"/>
  <c r="M597" i="43"/>
  <c r="N597" i="43"/>
  <c r="L606" i="43"/>
  <c r="M606" i="43" s="1"/>
  <c r="N606" i="43" s="1"/>
  <c r="L350" i="43"/>
  <c r="M350" i="43"/>
  <c r="N350" i="43" s="1"/>
  <c r="L92" i="43"/>
  <c r="M92" i="43"/>
  <c r="N92" i="43"/>
  <c r="L128" i="43"/>
  <c r="M128" i="43" s="1"/>
  <c r="N128" i="43" s="1"/>
  <c r="L141" i="43"/>
  <c r="M141" i="43" s="1"/>
  <c r="N141" i="43" s="1"/>
  <c r="L145" i="43"/>
  <c r="M145" i="43"/>
  <c r="N145" i="43" s="1"/>
  <c r="L208" i="43"/>
  <c r="M208" i="43"/>
  <c r="N208" i="43"/>
  <c r="L215" i="43"/>
  <c r="L220" i="43"/>
  <c r="M220" i="43"/>
  <c r="N220" i="43"/>
  <c r="L238" i="43"/>
  <c r="M238" i="43" s="1"/>
  <c r="N238" i="43" s="1"/>
  <c r="L245" i="43"/>
  <c r="M245" i="43"/>
  <c r="N245" i="43"/>
  <c r="L248" i="43"/>
  <c r="M248" i="43" s="1"/>
  <c r="L257" i="43"/>
  <c r="M257" i="43" s="1"/>
  <c r="L259" i="43"/>
  <c r="M259" i="43"/>
  <c r="L272" i="43"/>
  <c r="M272" i="43" s="1"/>
  <c r="N272" i="43" s="1"/>
  <c r="L308" i="43"/>
  <c r="M308" i="43"/>
  <c r="N308" i="43"/>
  <c r="L326" i="43"/>
  <c r="L328" i="43"/>
  <c r="M328" i="43"/>
  <c r="N328" i="43"/>
  <c r="L351" i="43"/>
  <c r="L358" i="43"/>
  <c r="M358" i="43"/>
  <c r="N358" i="43"/>
  <c r="L264" i="43"/>
  <c r="M264" i="43" s="1"/>
  <c r="N264" i="43" s="1"/>
  <c r="L269" i="43"/>
  <c r="M269" i="43"/>
  <c r="L22" i="43"/>
  <c r="M22" i="43" s="1"/>
  <c r="N22" i="43" s="1"/>
  <c r="L270" i="43"/>
  <c r="M270" i="43" s="1"/>
  <c r="N270" i="43" s="1"/>
  <c r="L372" i="43"/>
  <c r="L440" i="43"/>
  <c r="M440" i="43" s="1"/>
  <c r="L458" i="43"/>
  <c r="M458" i="43"/>
  <c r="L460" i="43"/>
  <c r="M460" i="43" s="1"/>
  <c r="L464" i="43"/>
  <c r="L476" i="43"/>
  <c r="L394" i="43"/>
  <c r="M394" i="43"/>
  <c r="L399" i="43"/>
  <c r="M399" i="43" s="1"/>
  <c r="L407" i="43"/>
  <c r="M407" i="43"/>
  <c r="N407" i="43" s="1"/>
  <c r="L369" i="43"/>
  <c r="M369" i="43"/>
  <c r="L401" i="43"/>
  <c r="M401" i="43" s="1"/>
  <c r="L258" i="43"/>
  <c r="L13" i="43"/>
  <c r="L277" i="43"/>
  <c r="M277" i="43" s="1"/>
  <c r="L281" i="43"/>
  <c r="M281" i="43"/>
  <c r="L286" i="43"/>
  <c r="L290" i="43"/>
  <c r="M290" i="43"/>
  <c r="N290" i="43"/>
  <c r="L275" i="43"/>
  <c r="M275" i="43" s="1"/>
  <c r="L279" i="43"/>
  <c r="M279" i="43" s="1"/>
  <c r="L284" i="43"/>
  <c r="L288" i="43"/>
  <c r="L261" i="43"/>
  <c r="M261" i="43" s="1"/>
  <c r="N261" i="43" s="1"/>
  <c r="L333" i="43"/>
  <c r="L289" i="43"/>
  <c r="M289" i="43" s="1"/>
  <c r="N289" i="43" s="1"/>
  <c r="L927" i="43"/>
  <c r="M927" i="43"/>
  <c r="N927" i="43"/>
  <c r="L41" i="43"/>
  <c r="M41" i="43" s="1"/>
  <c r="N41" i="43" s="1"/>
  <c r="L69" i="43"/>
  <c r="M69" i="43" s="1"/>
  <c r="N69" i="43" s="1"/>
  <c r="M286" i="43"/>
  <c r="N286" i="43" s="1"/>
  <c r="M284" i="43"/>
  <c r="N284" i="43"/>
  <c r="M649" i="43"/>
  <c r="N649" i="43" s="1"/>
  <c r="M657" i="43"/>
  <c r="N657" i="43"/>
  <c r="M830" i="43"/>
  <c r="N830" i="43" s="1"/>
  <c r="Y827" i="43" s="1"/>
  <c r="M870" i="43"/>
  <c r="N870" i="43"/>
  <c r="L72" i="43"/>
  <c r="M72" i="43" s="1"/>
  <c r="N72" i="43" s="1"/>
  <c r="N365" i="43"/>
  <c r="N603" i="43"/>
  <c r="L318" i="43"/>
  <c r="AD336" i="43"/>
  <c r="E335" i="43"/>
  <c r="G335" i="43"/>
  <c r="L335" i="43" s="1"/>
  <c r="G336" i="43"/>
  <c r="L336" i="43"/>
  <c r="M572" i="43"/>
  <c r="N572" i="43" s="1"/>
  <c r="L765" i="43"/>
  <c r="N553" i="43"/>
  <c r="M508" i="43"/>
  <c r="N508" i="43"/>
  <c r="M285" i="43"/>
  <c r="N285" i="43" s="1"/>
  <c r="M246" i="43"/>
  <c r="N246" i="43"/>
  <c r="AD223" i="43"/>
  <c r="E223" i="43" s="1"/>
  <c r="G223" i="43" s="1"/>
  <c r="L223" i="43" s="1"/>
  <c r="G224" i="43"/>
  <c r="L390" i="43"/>
  <c r="M390" i="43"/>
  <c r="N583" i="43"/>
  <c r="Z714" i="43"/>
  <c r="Y710" i="43"/>
  <c r="Y706" i="43"/>
  <c r="L26" i="43"/>
  <c r="M26" i="43" s="1"/>
  <c r="N26" i="43" s="1"/>
  <c r="L132" i="43"/>
  <c r="M132" i="43" s="1"/>
  <c r="N132" i="43" s="1"/>
  <c r="L150" i="43"/>
  <c r="M150" i="43"/>
  <c r="N150" i="43" s="1"/>
  <c r="L184" i="43"/>
  <c r="M184" i="43"/>
  <c r="N184" i="43"/>
  <c r="L239" i="43"/>
  <c r="M239" i="43" s="1"/>
  <c r="L577" i="43"/>
  <c r="L262" i="43"/>
  <c r="M262" i="43" s="1"/>
  <c r="L265" i="43"/>
  <c r="L343" i="43"/>
  <c r="M343" i="43" s="1"/>
  <c r="L378" i="43"/>
  <c r="M378" i="43" s="1"/>
  <c r="L295" i="43"/>
  <c r="M295" i="43"/>
  <c r="N295" i="43"/>
  <c r="L586" i="43"/>
  <c r="L611" i="43"/>
  <c r="M611" i="43"/>
  <c r="N611" i="43"/>
  <c r="L678" i="43"/>
  <c r="L755" i="43"/>
  <c r="M755" i="43"/>
  <c r="N755" i="43"/>
  <c r="L922" i="43"/>
  <c r="M922" i="43" s="1"/>
  <c r="N922" i="43" s="1"/>
  <c r="L46" i="43"/>
  <c r="M46" i="43" s="1"/>
  <c r="N46" i="43" s="1"/>
  <c r="L186" i="43"/>
  <c r="M186" i="43"/>
  <c r="N186" i="43" s="1"/>
  <c r="L15" i="43"/>
  <c r="M15" i="43"/>
  <c r="N15" i="43"/>
  <c r="L255" i="43"/>
  <c r="M255" i="43" s="1"/>
  <c r="L737" i="43"/>
  <c r="M737" i="43" s="1"/>
  <c r="N737" i="43" s="1"/>
  <c r="L293" i="43"/>
  <c r="M293" i="43"/>
  <c r="L425" i="43"/>
  <c r="M425" i="43" s="1"/>
  <c r="L59" i="43"/>
  <c r="M59" i="43" s="1"/>
  <c r="N59" i="43" s="1"/>
  <c r="L377" i="43"/>
  <c r="L292" i="43"/>
  <c r="L75" i="43"/>
  <c r="M75" i="43" s="1"/>
  <c r="N75" i="43" s="1"/>
  <c r="L648" i="43"/>
  <c r="M648" i="43" s="1"/>
  <c r="L722" i="43"/>
  <c r="L63" i="43"/>
  <c r="M63" i="43" s="1"/>
  <c r="N63" i="43" s="1"/>
  <c r="L20" i="43"/>
  <c r="M20" i="43"/>
  <c r="N20" i="43" s="1"/>
  <c r="L925" i="43"/>
  <c r="M925" i="43"/>
  <c r="N925" i="43"/>
  <c r="L897" i="43"/>
  <c r="M897" i="43" s="1"/>
  <c r="N897" i="43" s="1"/>
  <c r="L51" i="43"/>
  <c r="M51" i="43" s="1"/>
  <c r="N51" i="43" s="1"/>
  <c r="L712" i="43"/>
  <c r="M712" i="43"/>
  <c r="N712" i="43" s="1"/>
  <c r="L403" i="43"/>
  <c r="L39" i="43"/>
  <c r="M39" i="43"/>
  <c r="N39" i="43" s="1"/>
  <c r="L234" i="43"/>
  <c r="M234" i="43"/>
  <c r="L715" i="43"/>
  <c r="M715" i="43" s="1"/>
  <c r="N715" i="43" s="1"/>
  <c r="L661" i="43"/>
  <c r="M661" i="43"/>
  <c r="L57" i="43"/>
  <c r="M57" i="43" s="1"/>
  <c r="N57" i="43" s="1"/>
  <c r="L68" i="43"/>
  <c r="M68" i="43"/>
  <c r="N68" i="43" s="1"/>
  <c r="L907" i="43"/>
  <c r="M907" i="43"/>
  <c r="N907" i="43"/>
  <c r="L902" i="43"/>
  <c r="M902" i="43" s="1"/>
  <c r="N902" i="43" s="1"/>
  <c r="L90" i="43"/>
  <c r="M90" i="43" s="1"/>
  <c r="N90" i="43" s="1"/>
  <c r="L106" i="43"/>
  <c r="M106" i="43"/>
  <c r="N106" i="43" s="1"/>
  <c r="L108" i="43"/>
  <c r="M108" i="43"/>
  <c r="N108" i="43"/>
  <c r="L110" i="43"/>
  <c r="M110" i="43" s="1"/>
  <c r="N110" i="43" s="1"/>
  <c r="L124" i="43"/>
  <c r="M124" i="43" s="1"/>
  <c r="N124" i="43" s="1"/>
  <c r="L126" i="43"/>
  <c r="M126" i="43"/>
  <c r="N126" i="43" s="1"/>
  <c r="L204" i="43"/>
  <c r="M204" i="43"/>
  <c r="N204" i="43"/>
  <c r="L211" i="43"/>
  <c r="L14" i="43"/>
  <c r="M14" i="43"/>
  <c r="N14" i="43"/>
  <c r="L48" i="43"/>
  <c r="M48" i="43" s="1"/>
  <c r="N48" i="43" s="1"/>
  <c r="L42" i="43"/>
  <c r="M42" i="43" s="1"/>
  <c r="N42" i="43" s="1"/>
  <c r="L29" i="43"/>
  <c r="M29" i="43"/>
  <c r="N29" i="43" s="1"/>
  <c r="L608" i="43"/>
  <c r="M608" i="43"/>
  <c r="L791" i="43"/>
  <c r="L872" i="43"/>
  <c r="M872" i="43" s="1"/>
  <c r="N872" i="43" s="1"/>
  <c r="L877" i="43"/>
  <c r="L56" i="43"/>
  <c r="M56" i="43" s="1"/>
  <c r="N56" i="43" s="1"/>
  <c r="L263" i="43"/>
  <c r="M263" i="43"/>
  <c r="N263" i="43" s="1"/>
  <c r="L235" i="43"/>
  <c r="L564" i="43"/>
  <c r="M564" i="43"/>
  <c r="N564" i="43" s="1"/>
  <c r="M950" i="43"/>
  <c r="N950" i="43"/>
  <c r="L115" i="43"/>
  <c r="M115" i="43" s="1"/>
  <c r="N115" i="43" s="1"/>
  <c r="L209" i="43"/>
  <c r="M209" i="43"/>
  <c r="N209" i="43" s="1"/>
  <c r="L214" i="43"/>
  <c r="M214" i="43"/>
  <c r="L216" i="43"/>
  <c r="M216" i="43" s="1"/>
  <c r="L219" i="43"/>
  <c r="M219" i="43"/>
  <c r="L243" i="43"/>
  <c r="M243" i="43" s="1"/>
  <c r="L244" i="43"/>
  <c r="L363" i="43"/>
  <c r="L478" i="43"/>
  <c r="L490" i="43"/>
  <c r="M490" i="43"/>
  <c r="N490" i="43" s="1"/>
  <c r="L498" i="43"/>
  <c r="M498" i="43"/>
  <c r="L506" i="43"/>
  <c r="M506" i="43" s="1"/>
  <c r="L516" i="43"/>
  <c r="L873" i="43"/>
  <c r="M873" i="43" s="1"/>
  <c r="L16" i="43"/>
  <c r="L283" i="43"/>
  <c r="L52" i="43"/>
  <c r="M52" i="43" s="1"/>
  <c r="N52" i="43" s="1"/>
  <c r="L730" i="43"/>
  <c r="M730" i="43" s="1"/>
  <c r="L511" i="43"/>
  <c r="M511" i="43"/>
  <c r="L879" i="43"/>
  <c r="M879" i="43" s="1"/>
  <c r="L43" i="43"/>
  <c r="M43" i="43" s="1"/>
  <c r="N43" i="43" s="1"/>
  <c r="L149" i="43"/>
  <c r="M149" i="43"/>
  <c r="N149" i="43" s="1"/>
  <c r="L157" i="43"/>
  <c r="M157" i="43"/>
  <c r="N157" i="43"/>
  <c r="L159" i="43"/>
  <c r="M159" i="43" s="1"/>
  <c r="N159" i="43" s="1"/>
  <c r="L161" i="43"/>
  <c r="M161" i="43" s="1"/>
  <c r="N161" i="43" s="1"/>
  <c r="L167" i="43"/>
  <c r="M167" i="43"/>
  <c r="N167" i="43" s="1"/>
  <c r="L183" i="43"/>
  <c r="M183" i="43"/>
  <c r="N183" i="43"/>
  <c r="L694" i="43"/>
  <c r="M694" i="43" s="1"/>
  <c r="N694" i="43" s="1"/>
  <c r="L702" i="43"/>
  <c r="M702" i="43"/>
  <c r="L878" i="43"/>
  <c r="M878" i="43" s="1"/>
  <c r="L662" i="43"/>
  <c r="M662" i="43" s="1"/>
  <c r="L790" i="43"/>
  <c r="M790" i="43"/>
  <c r="N790" i="43" s="1"/>
  <c r="L807" i="43"/>
  <c r="M807" i="43"/>
  <c r="L821" i="43"/>
  <c r="M821" i="43" s="1"/>
  <c r="L841" i="43"/>
  <c r="M841" i="43"/>
  <c r="N841" i="43"/>
  <c r="L718" i="43"/>
  <c r="M718" i="43" s="1"/>
  <c r="L863" i="43"/>
  <c r="M863" i="43" s="1"/>
  <c r="N863" i="43" s="1"/>
  <c r="L740" i="43"/>
  <c r="M740" i="43"/>
  <c r="N740" i="43"/>
  <c r="L349" i="43"/>
  <c r="M349" i="43" s="1"/>
  <c r="L644" i="43"/>
  <c r="M644" i="43"/>
  <c r="N644" i="43" s="1"/>
  <c r="L552" i="43"/>
  <c r="M552" i="43"/>
  <c r="N552" i="43"/>
  <c r="L561" i="43"/>
  <c r="M561" i="43" s="1"/>
  <c r="N561" i="43" s="1"/>
  <c r="M555" i="43"/>
  <c r="N555" i="43"/>
  <c r="L175" i="43"/>
  <c r="M175" i="43" s="1"/>
  <c r="N175" i="43" s="1"/>
  <c r="L177" i="43"/>
  <c r="M177" i="43" s="1"/>
  <c r="N177" i="43" s="1"/>
  <c r="L179" i="43"/>
  <c r="M179" i="43"/>
  <c r="N179" i="43" s="1"/>
  <c r="L519" i="43"/>
  <c r="M519" i="43"/>
  <c r="N519" i="43"/>
  <c r="L579" i="43"/>
  <c r="L621" i="43"/>
  <c r="M621" i="43"/>
  <c r="N621" i="43"/>
  <c r="M342" i="43"/>
  <c r="N342" i="43" s="1"/>
  <c r="L140" i="43"/>
  <c r="M140" i="43"/>
  <c r="N140" i="43" s="1"/>
  <c r="L146" i="43"/>
  <c r="M146" i="43"/>
  <c r="N146" i="43"/>
  <c r="L158" i="43"/>
  <c r="M158" i="43" s="1"/>
  <c r="N158" i="43" s="1"/>
  <c r="L174" i="43"/>
  <c r="M174" i="43" s="1"/>
  <c r="N174" i="43" s="1"/>
  <c r="L176" i="43"/>
  <c r="M176" i="43"/>
  <c r="N176" i="43" s="1"/>
  <c r="L180" i="43"/>
  <c r="M180" i="43"/>
  <c r="N180" i="43"/>
  <c r="L192" i="43"/>
  <c r="M192" i="43" s="1"/>
  <c r="N192" i="43" s="1"/>
  <c r="L194" i="43"/>
  <c r="M194" i="43" s="1"/>
  <c r="N194" i="43" s="1"/>
  <c r="L202" i="43"/>
  <c r="M202" i="43"/>
  <c r="N202" i="43" s="1"/>
  <c r="L210" i="43"/>
  <c r="M210" i="43"/>
  <c r="L313" i="43"/>
  <c r="M313" i="43" s="1"/>
  <c r="L457" i="43"/>
  <c r="N457" i="43" s="1"/>
  <c r="M457" i="43"/>
  <c r="L327" i="43"/>
  <c r="N453" i="43"/>
  <c r="L163" i="43"/>
  <c r="M163" i="43" s="1"/>
  <c r="N163" i="43" s="1"/>
  <c r="L89" i="43"/>
  <c r="M89" i="43"/>
  <c r="N89" i="43" s="1"/>
  <c r="L93" i="43"/>
  <c r="M93" i="43"/>
  <c r="N93" i="43"/>
  <c r="L95" i="43"/>
  <c r="M95" i="43" s="1"/>
  <c r="N95" i="43" s="1"/>
  <c r="L107" i="43"/>
  <c r="M107" i="43" s="1"/>
  <c r="N107" i="43" s="1"/>
  <c r="L109" i="43"/>
  <c r="M109" i="43"/>
  <c r="N109" i="43" s="1"/>
  <c r="L123" i="43"/>
  <c r="M123" i="43"/>
  <c r="N123" i="43"/>
  <c r="L142" i="43"/>
  <c r="M142" i="43" s="1"/>
  <c r="N142" i="43" s="1"/>
  <c r="L160" i="43"/>
  <c r="M160" i="43" s="1"/>
  <c r="N160" i="43" s="1"/>
  <c r="L178" i="43"/>
  <c r="M178" i="43"/>
  <c r="N178" i="43" s="1"/>
  <c r="L47" i="43"/>
  <c r="M47" i="43"/>
  <c r="N47" i="43"/>
  <c r="L67" i="43"/>
  <c r="M67" i="43" s="1"/>
  <c r="N67" i="43" s="1"/>
  <c r="L73" i="43"/>
  <c r="M73" i="43" s="1"/>
  <c r="N73" i="43" s="1"/>
  <c r="L19" i="43"/>
  <c r="M19" i="43"/>
  <c r="N19" i="43" s="1"/>
  <c r="L28" i="43"/>
  <c r="M28" i="43"/>
  <c r="N28" i="43"/>
  <c r="L37" i="43"/>
  <c r="M37" i="43" s="1"/>
  <c r="N37" i="43" s="1"/>
  <c r="M13" i="43"/>
  <c r="N13" i="43" s="1"/>
  <c r="L224" i="43"/>
  <c r="M224" i="43"/>
  <c r="N224" i="43"/>
  <c r="L27" i="43"/>
  <c r="M27" i="43" s="1"/>
  <c r="N27" i="43" s="1"/>
  <c r="L91" i="43"/>
  <c r="M91" i="43" s="1"/>
  <c r="N91" i="43" s="1"/>
  <c r="L125" i="43"/>
  <c r="M125" i="43"/>
  <c r="N125" i="43" s="1"/>
  <c r="L205" i="43"/>
  <c r="M205" i="43"/>
  <c r="N205" i="43"/>
  <c r="L240" i="43"/>
  <c r="M240" i="43" s="1"/>
  <c r="N240" i="43" s="1"/>
  <c r="L312" i="43"/>
  <c r="M312" i="43" s="1"/>
  <c r="N487" i="43"/>
  <c r="L482" i="43"/>
  <c r="M482" i="43" s="1"/>
  <c r="N482" i="43" s="1"/>
  <c r="L488" i="43"/>
  <c r="M488" i="43"/>
  <c r="N488" i="43"/>
  <c r="L70" i="43"/>
  <c r="M70" i="43" s="1"/>
  <c r="N70" i="43" s="1"/>
  <c r="L104" i="43"/>
  <c r="M104" i="43" s="1"/>
  <c r="N104" i="43" s="1"/>
  <c r="L138" i="43"/>
  <c r="M138" i="43"/>
  <c r="N138" i="43" s="1"/>
  <c r="L744" i="43"/>
  <c r="M744" i="43"/>
  <c r="N744" i="43"/>
  <c r="L741" i="43"/>
  <c r="N778" i="43"/>
  <c r="L847" i="43"/>
  <c r="N847" i="43" s="1"/>
  <c r="M847" i="43"/>
  <c r="L855" i="43"/>
  <c r="M855" i="43"/>
  <c r="L71" i="43"/>
  <c r="M71" i="43" s="1"/>
  <c r="N71" i="43" s="1"/>
  <c r="L44" i="43"/>
  <c r="M44" i="43"/>
  <c r="N44" i="43" s="1"/>
  <c r="L432" i="43"/>
  <c r="L742" i="43"/>
  <c r="N581" i="43"/>
  <c r="L330" i="43"/>
  <c r="M330" i="43" s="1"/>
  <c r="N330" i="43" s="1"/>
  <c r="L630" i="43"/>
  <c r="N630" i="43" s="1"/>
  <c r="M630" i="43"/>
  <c r="M307" i="43"/>
  <c r="N307" i="43"/>
  <c r="M708" i="43"/>
  <c r="N708" i="43" s="1"/>
  <c r="N624" i="43"/>
  <c r="M481" i="43"/>
  <c r="N481" i="43"/>
  <c r="N733" i="43"/>
  <c r="M658" i="43"/>
  <c r="N658" i="43"/>
  <c r="M383" i="43"/>
  <c r="N383" i="43" s="1"/>
  <c r="N787" i="43"/>
  <c r="N472" i="43"/>
  <c r="L222" i="43"/>
  <c r="M222" i="43" s="1"/>
  <c r="L504" i="43"/>
  <c r="N504" i="43" s="1"/>
  <c r="M504" i="43"/>
  <c r="L527" i="43"/>
  <c r="M527" i="43"/>
  <c r="L534" i="43"/>
  <c r="M534" i="43" s="1"/>
  <c r="L701" i="43"/>
  <c r="N701" i="43" s="1"/>
  <c r="M701" i="43"/>
  <c r="L808" i="43"/>
  <c r="M808" i="43"/>
  <c r="N808" i="43"/>
  <c r="L236" i="43"/>
  <c r="M236" i="43" s="1"/>
  <c r="N236" i="43" s="1"/>
  <c r="N849" i="43"/>
  <c r="L923" i="43"/>
  <c r="M923" i="43" s="1"/>
  <c r="N923" i="43" s="1"/>
  <c r="M892" i="43"/>
  <c r="N892" i="43" s="1"/>
  <c r="L191" i="43"/>
  <c r="M191" i="43"/>
  <c r="N191" i="43"/>
  <c r="L193" i="43"/>
  <c r="M193" i="43" s="1"/>
  <c r="N193" i="43" s="1"/>
  <c r="L195" i="43"/>
  <c r="M195" i="43" s="1"/>
  <c r="N195" i="43" s="1"/>
  <c r="L197" i="43"/>
  <c r="M197" i="43"/>
  <c r="N197" i="43" s="1"/>
  <c r="L201" i="43"/>
  <c r="M201" i="43"/>
  <c r="N201" i="43"/>
  <c r="L203" i="43"/>
  <c r="M203" i="43" s="1"/>
  <c r="N203" i="43" s="1"/>
  <c r="L213" i="43"/>
  <c r="M213" i="43" s="1"/>
  <c r="L252" i="43"/>
  <c r="N252" i="43" s="1"/>
  <c r="M252" i="43"/>
  <c r="L494" i="43"/>
  <c r="L496" i="43"/>
  <c r="N496" i="43" s="1"/>
  <c r="M496" i="43"/>
  <c r="L522" i="43"/>
  <c r="M522" i="43"/>
  <c r="N522" i="43"/>
  <c r="L617" i="43"/>
  <c r="M617" i="43" s="1"/>
  <c r="L129" i="43"/>
  <c r="M129" i="43"/>
  <c r="N129" i="43" s="1"/>
  <c r="L196" i="43"/>
  <c r="M196" i="43"/>
  <c r="N196" i="43"/>
  <c r="M347" i="43"/>
  <c r="N347" i="43" s="1"/>
  <c r="N251" i="43"/>
  <c r="M235" i="43"/>
  <c r="N235" i="43" s="1"/>
  <c r="M379" i="44"/>
  <c r="O384" i="44"/>
  <c r="M381" i="44" s="1"/>
  <c r="N234" i="43"/>
  <c r="N444" i="43"/>
  <c r="M435" i="43"/>
  <c r="N435" i="43" s="1"/>
  <c r="M760" i="43"/>
  <c r="N760" i="43"/>
  <c r="N219" i="43"/>
  <c r="N670" i="43"/>
  <c r="N409" i="43"/>
  <c r="M640" i="43"/>
  <c r="N640" i="43" s="1"/>
  <c r="M344" i="43"/>
  <c r="N344" i="43"/>
  <c r="N438" i="43"/>
  <c r="N772" i="43"/>
  <c r="N884" i="43"/>
  <c r="N680" i="43"/>
  <c r="N655" i="43"/>
  <c r="N652" i="43"/>
  <c r="N756" i="43"/>
  <c r="M579" i="43"/>
  <c r="N579" i="43" s="1"/>
  <c r="N269" i="43"/>
  <c r="M734" i="43"/>
  <c r="N734" i="43"/>
  <c r="N743" i="43"/>
  <c r="L485" i="43"/>
  <c r="L501" i="43"/>
  <c r="M501" i="43" s="1"/>
  <c r="L513" i="43"/>
  <c r="M513" i="43"/>
  <c r="N513" i="43"/>
  <c r="L524" i="43"/>
  <c r="M524" i="43" s="1"/>
  <c r="N524" i="43" s="1"/>
  <c r="L526" i="43"/>
  <c r="M526" i="43"/>
  <c r="L529" i="43"/>
  <c r="M529" i="43" s="1"/>
  <c r="N529" i="43" s="1"/>
  <c r="L531" i="43"/>
  <c r="M531" i="43" s="1"/>
  <c r="L850" i="43"/>
  <c r="N850" i="43" s="1"/>
  <c r="M850" i="43"/>
  <c r="L866" i="43"/>
  <c r="L376" i="43"/>
  <c r="N376" i="43" s="1"/>
  <c r="M376" i="43"/>
  <c r="L449" i="43"/>
  <c r="M449" i="43"/>
  <c r="N449" i="43"/>
  <c r="L600" i="43"/>
  <c r="L218" i="43"/>
  <c r="N218" i="43" s="1"/>
  <c r="M218" i="43"/>
  <c r="N562" i="43"/>
  <c r="N557" i="43"/>
  <c r="L217" i="43"/>
  <c r="L493" i="43"/>
  <c r="M493" i="43" s="1"/>
  <c r="N493" i="43" s="1"/>
  <c r="L538" i="43"/>
  <c r="L858" i="43"/>
  <c r="M858" i="43" s="1"/>
  <c r="N858" i="43" s="1"/>
  <c r="L268" i="43"/>
  <c r="M268" i="43" s="1"/>
  <c r="L794" i="43"/>
  <c r="N794" i="43" s="1"/>
  <c r="M794" i="43"/>
  <c r="Y546" i="43"/>
  <c r="N656" i="43"/>
  <c r="N717" i="43"/>
  <c r="N713" i="43"/>
  <c r="N805" i="43"/>
  <c r="N614" i="43"/>
  <c r="N688" i="43"/>
  <c r="N816" i="43"/>
  <c r="N400" i="43"/>
  <c r="N379" i="43"/>
  <c r="N676" i="43"/>
  <c r="N320" i="43"/>
  <c r="N465" i="43"/>
  <c r="N881" i="43"/>
  <c r="N723" i="43"/>
  <c r="N750" i="43"/>
  <c r="N762" i="43"/>
  <c r="N620" i="43"/>
  <c r="AB59" i="43"/>
  <c r="M861" i="43"/>
  <c r="N861" i="43"/>
  <c r="N484" i="43"/>
  <c r="N362" i="43"/>
  <c r="N729" i="43"/>
  <c r="N797" i="43"/>
  <c r="N789" i="43"/>
  <c r="N735" i="43"/>
  <c r="N598" i="43"/>
  <c r="N773" i="43"/>
  <c r="O234" i="44"/>
  <c r="M231" i="44" s="1"/>
  <c r="M234" i="44" s="1"/>
  <c r="N418" i="43"/>
  <c r="N777" i="43"/>
  <c r="N535" i="43"/>
  <c r="N857" i="43"/>
  <c r="N259" i="43"/>
  <c r="N450" i="43"/>
  <c r="N612" i="43"/>
  <c r="N356" i="43"/>
  <c r="N394" i="43"/>
  <c r="N682" i="43"/>
  <c r="N413" i="43"/>
  <c r="N316" i="43"/>
  <c r="N254" i="43"/>
  <c r="N851" i="43"/>
  <c r="N779" i="43"/>
  <c r="N710" i="43"/>
  <c r="N683" i="43"/>
  <c r="N601" i="43"/>
  <c r="N375" i="43"/>
  <c r="N804" i="43"/>
  <c r="N699" i="43"/>
  <c r="N439" i="43"/>
  <c r="N237" i="43"/>
  <c r="N287" i="43"/>
  <c r="N796" i="43"/>
  <c r="N820" i="43"/>
  <c r="N447" i="43"/>
  <c r="N807" i="43"/>
  <c r="N724" i="43"/>
  <c r="N542" i="43"/>
  <c r="N214" i="43"/>
  <c r="N323" i="43"/>
  <c r="N510" i="43"/>
  <c r="N477" i="43"/>
  <c r="N470" i="43"/>
  <c r="N856" i="43"/>
  <c r="N300" i="43"/>
  <c r="N573" i="43"/>
  <c r="M571" i="43"/>
  <c r="N571" i="43" s="1"/>
  <c r="M520" i="43"/>
  <c r="N520" i="43"/>
  <c r="N831" i="43"/>
  <c r="N369" i="43"/>
  <c r="N539" i="43"/>
  <c r="N846" i="43"/>
  <c r="N702" i="43"/>
  <c r="N837" i="43"/>
  <c r="M679" i="43"/>
  <c r="N679" i="43"/>
  <c r="M610" i="43"/>
  <c r="N610" i="43" s="1"/>
  <c r="M398" i="43"/>
  <c r="N398" i="43"/>
  <c r="N840" i="43"/>
  <c r="M443" i="43"/>
  <c r="N443" i="43" s="1"/>
  <c r="M352" i="43"/>
  <c r="N352" i="43"/>
  <c r="M647" i="43"/>
  <c r="N647" i="43" s="1"/>
  <c r="M244" i="43"/>
  <c r="N244" i="43"/>
  <c r="N954" i="43"/>
  <c r="N819" i="43"/>
  <c r="N643" i="43"/>
  <c r="N498" i="43"/>
  <c r="M474" i="43"/>
  <c r="N474" i="43"/>
  <c r="M464" i="43"/>
  <c r="N464" i="43" s="1"/>
  <c r="N458" i="43"/>
  <c r="M421" i="43"/>
  <c r="N421" i="43" s="1"/>
  <c r="M299" i="43"/>
  <c r="N299" i="43"/>
  <c r="M894" i="43"/>
  <c r="N894" i="43" s="1"/>
  <c r="L34" i="43"/>
  <c r="M34" i="43"/>
  <c r="N34" i="43"/>
  <c r="L331" i="43"/>
  <c r="M331" i="43" s="1"/>
  <c r="L94" i="43"/>
  <c r="M94" i="43"/>
  <c r="N94" i="43"/>
  <c r="L348" i="43"/>
  <c r="L66" i="43"/>
  <c r="M66" i="43"/>
  <c r="N66" i="43" s="1"/>
  <c r="M336" i="43"/>
  <c r="N336" i="43"/>
  <c r="M686" i="43"/>
  <c r="N686" i="43"/>
  <c r="M669" i="43"/>
  <c r="N669" i="43"/>
  <c r="M609" i="43"/>
  <c r="N609" i="43"/>
  <c r="M711" i="43"/>
  <c r="N711" i="43"/>
  <c r="M278" i="43"/>
  <c r="N278" i="43"/>
  <c r="M327" i="43"/>
  <c r="N327" i="43"/>
  <c r="M334" i="43"/>
  <c r="N334" i="43"/>
  <c r="M355" i="43"/>
  <c r="N355" i="43"/>
  <c r="M357" i="43"/>
  <c r="N357" i="43"/>
  <c r="M698" i="43"/>
  <c r="N698" i="43"/>
  <c r="M675" i="43"/>
  <c r="N675" i="43"/>
  <c r="M693" i="43"/>
  <c r="N693" i="43"/>
  <c r="M664" i="43"/>
  <c r="N664" i="43"/>
  <c r="M912" i="43"/>
  <c r="N912" i="43"/>
  <c r="M834" i="43"/>
  <c r="N834" i="43"/>
  <c r="M485" i="43"/>
  <c r="N485" i="43"/>
  <c r="M877" i="43"/>
  <c r="N877" i="43"/>
  <c r="M302" i="43"/>
  <c r="N302" i="43"/>
  <c r="M875" i="43"/>
  <c r="N875" i="43"/>
  <c r="M397" i="43"/>
  <c r="N397" i="43" s="1"/>
  <c r="M249" i="43"/>
  <c r="N249" i="43"/>
  <c r="M294" i="43"/>
  <c r="N294" i="43" s="1"/>
  <c r="M839" i="43"/>
  <c r="N839" i="43"/>
  <c r="M747" i="43"/>
  <c r="N747" i="43" s="1"/>
  <c r="M587" i="43"/>
  <c r="N587" i="43"/>
  <c r="M478" i="43"/>
  <c r="N478" i="43" s="1"/>
  <c r="M538" i="43"/>
  <c r="N538" i="43"/>
  <c r="A60" i="43"/>
  <c r="A61" i="43" s="1"/>
  <c r="A62" i="43" s="1"/>
  <c r="A63" i="43" s="1"/>
  <c r="A64" i="43" s="1"/>
  <c r="A65" i="43" s="1"/>
  <c r="A66" i="43" s="1"/>
  <c r="A67" i="43" s="1"/>
  <c r="A68" i="43" s="1"/>
  <c r="A69" i="43" s="1"/>
  <c r="A70" i="43" s="1"/>
  <c r="A71" i="43" s="1"/>
  <c r="A72" i="43" s="1"/>
  <c r="A73" i="43" s="1"/>
  <c r="A74" i="43" s="1"/>
  <c r="A75" i="43" s="1"/>
  <c r="A76" i="43" s="1"/>
  <c r="A77" i="43" s="1"/>
  <c r="A81" i="43" s="1"/>
  <c r="A82" i="43" s="1"/>
  <c r="A83" i="43" s="1"/>
  <c r="A84" i="43" s="1"/>
  <c r="A86" i="43" s="1"/>
  <c r="A87" i="43" s="1"/>
  <c r="A89" i="43" s="1"/>
  <c r="A90" i="43" s="1"/>
  <c r="A91" i="43" s="1"/>
  <c r="A92" i="43" s="1"/>
  <c r="A93" i="43" s="1"/>
  <c r="A94" i="43" s="1"/>
  <c r="A95" i="43" s="1"/>
  <c r="A98" i="43" s="1"/>
  <c r="A99" i="43" s="1"/>
  <c r="A100" i="43" s="1"/>
  <c r="A101" i="43" s="1"/>
  <c r="A103" i="43" s="1"/>
  <c r="A104" i="43" s="1"/>
  <c r="A106" i="43" s="1"/>
  <c r="A107" i="43" s="1"/>
  <c r="A108" i="43" s="1"/>
  <c r="A109" i="43" s="1"/>
  <c r="A110" i="43" s="1"/>
  <c r="A111" i="43" s="1"/>
  <c r="A112" i="43" s="1"/>
  <c r="A115" i="43" s="1"/>
  <c r="A116" i="43" s="1"/>
  <c r="A59" i="43"/>
  <c r="N674" i="43"/>
  <c r="N876" i="43"/>
  <c r="M371" i="43"/>
  <c r="N371" i="43"/>
  <c r="M537" i="43"/>
  <c r="N537" i="43"/>
  <c r="M516" i="43"/>
  <c r="N516" i="43"/>
  <c r="M882" i="43"/>
  <c r="N882" i="43"/>
  <c r="M757" i="43"/>
  <c r="N757" i="43"/>
  <c r="M813" i="43"/>
  <c r="N813" i="43"/>
  <c r="N391" i="43"/>
  <c r="N390" i="43"/>
  <c r="M854" i="43"/>
  <c r="N854" i="43"/>
  <c r="M780" i="43"/>
  <c r="N780" i="43" s="1"/>
  <c r="N233" i="43"/>
  <c r="N530" i="43"/>
  <c r="M497" i="43"/>
  <c r="N497" i="43" s="1"/>
  <c r="M791" i="43"/>
  <c r="N791" i="43"/>
  <c r="M722" i="43"/>
  <c r="N722" i="43"/>
  <c r="M301" i="43"/>
  <c r="N301" i="43"/>
  <c r="M811" i="43"/>
  <c r="N811" i="43"/>
  <c r="M260" i="43"/>
  <c r="N260" i="43"/>
  <c r="M326" i="43"/>
  <c r="N326" i="43"/>
  <c r="M359" i="43"/>
  <c r="N359" i="43"/>
  <c r="N893" i="43"/>
  <c r="N366" i="43"/>
  <c r="M623" i="43"/>
  <c r="N623" i="43"/>
  <c r="M494" i="43"/>
  <c r="N494" i="43"/>
  <c r="N687" i="43"/>
  <c r="N685" i="43"/>
  <c r="N408" i="43"/>
  <c r="M403" i="43"/>
  <c r="N403" i="43"/>
  <c r="M414" i="43"/>
  <c r="N414" i="43" s="1"/>
  <c r="M396" i="43"/>
  <c r="N396" i="43"/>
  <c r="M833" i="43"/>
  <c r="N833" i="43" s="1"/>
  <c r="M405" i="43"/>
  <c r="N405" i="43"/>
  <c r="N322" i="43"/>
  <c r="N634" i="43"/>
  <c r="M258" i="43"/>
  <c r="N258" i="43"/>
  <c r="N247" i="43"/>
  <c r="M333" i="43"/>
  <c r="N333" i="43"/>
  <c r="M230" i="43"/>
  <c r="N230" i="43" s="1"/>
  <c r="M283" i="43"/>
  <c r="N283" i="43"/>
  <c r="N817" i="43"/>
  <c r="Y815" i="43" s="1"/>
  <c r="M759" i="43"/>
  <c r="N759" i="43"/>
  <c r="M672" i="43"/>
  <c r="N672" i="43" s="1"/>
  <c r="N593" i="43"/>
  <c r="N360" i="43"/>
  <c r="N823" i="43"/>
  <c r="M442" i="43"/>
  <c r="N442" i="43"/>
  <c r="M215" i="43"/>
  <c r="N215" i="43"/>
  <c r="M814" i="43"/>
  <c r="N814" i="43"/>
  <c r="M783" i="43"/>
  <c r="N783" i="43" s="1"/>
  <c r="Y781" i="43" s="1"/>
  <c r="N758" i="43"/>
  <c r="N746" i="43"/>
  <c r="M554" i="43"/>
  <c r="N554" i="43"/>
  <c r="N467" i="43"/>
  <c r="M853" i="43"/>
  <c r="N853" i="43" s="1"/>
  <c r="M859" i="43"/>
  <c r="N859" i="43"/>
  <c r="M765" i="43"/>
  <c r="N765" i="43" s="1"/>
  <c r="M754" i="43"/>
  <c r="N754" i="43"/>
  <c r="M727" i="43"/>
  <c r="N727" i="43" s="1"/>
  <c r="M736" i="43"/>
  <c r="N736" i="43"/>
  <c r="N232" i="43"/>
  <c r="N281" i="43"/>
  <c r="N836" i="43"/>
  <c r="N785" i="43"/>
  <c r="M633" i="43"/>
  <c r="N633" i="43" s="1"/>
  <c r="M459" i="43"/>
  <c r="N459" i="43"/>
  <c r="N431" i="43"/>
  <c r="N345" i="43"/>
  <c r="M387" i="43"/>
  <c r="N387" i="43"/>
  <c r="M377" i="43"/>
  <c r="N377" i="43" s="1"/>
  <c r="N266" i="43"/>
  <c r="N812" i="43"/>
  <c r="N691" i="43"/>
  <c r="N511" i="43"/>
  <c r="M505" i="43"/>
  <c r="N505" i="43" s="1"/>
  <c r="N495" i="43"/>
  <c r="M335" i="43"/>
  <c r="N335" i="43"/>
  <c r="M211" i="43"/>
  <c r="N211" i="43"/>
  <c r="M500" i="43"/>
  <c r="N500" i="43"/>
  <c r="M288" i="43"/>
  <c r="N288" i="43"/>
  <c r="N806" i="43"/>
  <c r="M563" i="43"/>
  <c r="N563" i="43" s="1"/>
  <c r="M276" i="43"/>
  <c r="N276" i="43"/>
  <c r="M869" i="43"/>
  <c r="N869" i="43" s="1"/>
  <c r="M589" i="43"/>
  <c r="N589" i="43"/>
  <c r="N293" i="43"/>
  <c r="N274" i="43"/>
  <c r="N928" i="43"/>
  <c r="N764" i="43"/>
  <c r="N385" i="43"/>
  <c r="N550" i="43"/>
  <c r="M786" i="43"/>
  <c r="N786" i="43"/>
  <c r="M476" i="43"/>
  <c r="N476" i="43" s="1"/>
  <c r="M372" i="43"/>
  <c r="N372" i="43"/>
  <c r="M596" i="43"/>
  <c r="N596" i="43" s="1"/>
  <c r="M883" i="43"/>
  <c r="N883" i="43"/>
  <c r="M318" i="43"/>
  <c r="N318" i="43" s="1"/>
  <c r="N766" i="43"/>
  <c r="N378" i="43"/>
  <c r="N305" i="43"/>
  <c r="M885" i="43"/>
  <c r="N885" i="43"/>
  <c r="N605" i="43"/>
  <c r="N580" i="43"/>
  <c r="M548" i="43"/>
  <c r="N548" i="43"/>
  <c r="M568" i="43"/>
  <c r="N568" i="43" s="1"/>
  <c r="M363" i="43"/>
  <c r="N363" i="43"/>
  <c r="M678" i="43"/>
  <c r="N678" i="43" s="1"/>
  <c r="M599" i="43"/>
  <c r="N599" i="43"/>
  <c r="M518" i="43"/>
  <c r="N518" i="43" s="1"/>
  <c r="M742" i="43"/>
  <c r="N742" i="43"/>
  <c r="N692" i="43"/>
  <c r="N594" i="43"/>
  <c r="N602" i="43"/>
  <c r="M310" i="43"/>
  <c r="N310" i="43" s="1"/>
  <c r="M615" i="43"/>
  <c r="N615" i="43"/>
  <c r="M741" i="43"/>
  <c r="N741" i="43" s="1"/>
  <c r="N420" i="43"/>
  <c r="N661" i="43"/>
  <c r="M475" i="43"/>
  <c r="N475" i="43" s="1"/>
  <c r="Y471" i="43" s="1"/>
  <c r="N739" i="43"/>
  <c r="N526" i="43"/>
  <c r="M491" i="43"/>
  <c r="N491" i="43"/>
  <c r="M517" i="43"/>
  <c r="N517" i="43" s="1"/>
  <c r="M515" i="43"/>
  <c r="N515" i="43"/>
  <c r="N257" i="43"/>
  <c r="M677" i="43"/>
  <c r="N677" i="43"/>
  <c r="M256" i="43"/>
  <c r="N256" i="43" s="1"/>
  <c r="M351" i="43"/>
  <c r="N351" i="43" s="1"/>
  <c r="M586" i="43"/>
  <c r="N586" i="43"/>
  <c r="M265" i="43"/>
  <c r="N265" i="43"/>
  <c r="M292" i="43"/>
  <c r="N292" i="43"/>
  <c r="M577" i="43"/>
  <c r="N577" i="43"/>
  <c r="Y446" i="43"/>
  <c r="N821" i="43"/>
  <c r="Y818" i="43" s="1"/>
  <c r="N210" i="43"/>
  <c r="N608" i="43"/>
  <c r="L338" i="43"/>
  <c r="M338" i="43" s="1"/>
  <c r="M16" i="43"/>
  <c r="N16" i="43" s="1"/>
  <c r="N349" i="43"/>
  <c r="Y618" i="43"/>
  <c r="N527" i="43"/>
  <c r="Y355" i="43"/>
  <c r="AD211" i="43"/>
  <c r="M432" i="43"/>
  <c r="N432" i="43"/>
  <c r="Y428" i="43"/>
  <c r="N855" i="43"/>
  <c r="Y298" i="43"/>
  <c r="M600" i="43"/>
  <c r="N600" i="43" s="1"/>
  <c r="Y598" i="43" s="1"/>
  <c r="Y793" i="43"/>
  <c r="N617" i="43"/>
  <c r="N501" i="43"/>
  <c r="Y321" i="43"/>
  <c r="N331" i="43"/>
  <c r="M217" i="43"/>
  <c r="N217" i="43" s="1"/>
  <c r="M866" i="43"/>
  <c r="N866" i="43" s="1"/>
  <c r="Y776" i="43"/>
  <c r="AB889" i="43"/>
  <c r="Y677" i="43"/>
  <c r="Y890" i="43"/>
  <c r="Y722" i="43"/>
  <c r="Y832" i="43"/>
  <c r="M348" i="43"/>
  <c r="N348" i="43" s="1"/>
  <c r="Y810" i="43"/>
  <c r="A117" i="43"/>
  <c r="A118" i="43"/>
  <c r="A120" i="43" s="1"/>
  <c r="A121" i="43" s="1"/>
  <c r="A123" i="43" s="1"/>
  <c r="A124" i="43" s="1"/>
  <c r="A125" i="43" s="1"/>
  <c r="A126" i="43" s="1"/>
  <c r="A127" i="43" s="1"/>
  <c r="A128" i="43" s="1"/>
  <c r="A129" i="43" s="1"/>
  <c r="A132" i="43" s="1"/>
  <c r="A133" i="43" s="1"/>
  <c r="A134" i="43" s="1"/>
  <c r="A135" i="43" s="1"/>
  <c r="A137" i="43" s="1"/>
  <c r="A138" i="43" s="1"/>
  <c r="A140" i="43" s="1"/>
  <c r="A141" i="43" s="1"/>
  <c r="A142" i="43" s="1"/>
  <c r="A143" i="43" s="1"/>
  <c r="A144" i="43" s="1"/>
  <c r="A145" i="43" s="1"/>
  <c r="A146" i="43" s="1"/>
  <c r="A149" i="43" s="1"/>
  <c r="A150" i="43" s="1"/>
  <c r="A151" i="43" s="1"/>
  <c r="A152" i="43" s="1"/>
  <c r="A154" i="43" s="1"/>
  <c r="A155" i="43" s="1"/>
  <c r="A157" i="43" s="1"/>
  <c r="A158" i="43" s="1"/>
  <c r="A159" i="43" s="1"/>
  <c r="A160" i="43" s="1"/>
  <c r="A161" i="43" s="1"/>
  <c r="A162" i="43" s="1"/>
  <c r="A163" i="43" s="1"/>
  <c r="A166" i="43" s="1"/>
  <c r="A167" i="43" s="1"/>
  <c r="A168" i="43" s="1"/>
  <c r="A169" i="43" s="1"/>
  <c r="A171" i="43" s="1"/>
  <c r="A172" i="43" s="1"/>
  <c r="A174" i="43" s="1"/>
  <c r="A175" i="43" s="1"/>
  <c r="A176" i="43" s="1"/>
  <c r="A177" i="43" s="1"/>
  <c r="A178" i="43" s="1"/>
  <c r="A179" i="43" s="1"/>
  <c r="A180" i="43" s="1"/>
  <c r="A183" i="43" s="1"/>
  <c r="A184" i="43" s="1"/>
  <c r="A185" i="43" s="1"/>
  <c r="A186" i="43" s="1"/>
  <c r="A188" i="43" s="1"/>
  <c r="A189" i="43" s="1"/>
  <c r="A191" i="43" s="1"/>
  <c r="A192" i="43" s="1"/>
  <c r="A193" i="43" s="1"/>
  <c r="A194" i="43" s="1"/>
  <c r="A195" i="43" s="1"/>
  <c r="A196" i="43" s="1"/>
  <c r="A197" i="43" s="1"/>
  <c r="A200" i="43" s="1"/>
  <c r="A201" i="43" s="1"/>
  <c r="A202" i="43" s="1"/>
  <c r="A203" i="43" s="1"/>
  <c r="A204" i="43" s="1"/>
  <c r="A205" i="43" s="1"/>
  <c r="A206" i="43" s="1"/>
  <c r="A207" i="43" s="1"/>
  <c r="A208" i="43" s="1"/>
  <c r="A209" i="43" s="1"/>
  <c r="A210" i="43" s="1"/>
  <c r="A211" i="43" s="1"/>
  <c r="A213" i="43" s="1"/>
  <c r="A214" i="43" s="1"/>
  <c r="A215" i="43" s="1"/>
  <c r="A216" i="43" s="1"/>
  <c r="A217" i="43" s="1"/>
  <c r="A218" i="43" s="1"/>
  <c r="A219" i="43" s="1"/>
  <c r="A220" i="43" s="1"/>
  <c r="A221" i="43" s="1"/>
  <c r="A222" i="43" s="1"/>
  <c r="A223" i="43" s="1"/>
  <c r="A224" i="43" s="1"/>
  <c r="A230" i="43" s="1"/>
  <c r="A231" i="43" s="1"/>
  <c r="A232" i="43" s="1"/>
  <c r="A233" i="43" s="1"/>
  <c r="A234" i="43" s="1"/>
  <c r="A235" i="43" s="1"/>
  <c r="A236" i="43" s="1"/>
  <c r="A237" i="43" s="1"/>
  <c r="A238" i="43" s="1"/>
  <c r="A239" i="43" s="1"/>
  <c r="A240" i="43" s="1"/>
  <c r="A241" i="43" s="1"/>
  <c r="A243" i="43" s="1"/>
  <c r="A244" i="43" s="1"/>
  <c r="A245" i="43" s="1"/>
  <c r="A246" i="43" s="1"/>
  <c r="A247" i="43" s="1"/>
  <c r="A248" i="43" s="1"/>
  <c r="A249" i="43" s="1"/>
  <c r="A251" i="43" s="1"/>
  <c r="A252" i="43" s="1"/>
  <c r="A254" i="43" s="1"/>
  <c r="A255" i="43" s="1"/>
  <c r="A256" i="43" s="1"/>
  <c r="A257" i="43" s="1"/>
  <c r="A258" i="43" s="1"/>
  <c r="A259" i="43" s="1"/>
  <c r="A260" i="43" s="1"/>
  <c r="A261" i="43" s="1"/>
  <c r="A262" i="43" s="1"/>
  <c r="A263" i="43" s="1"/>
  <c r="A264" i="43" s="1"/>
  <c r="A265" i="43" s="1"/>
  <c r="A266" i="43" s="1"/>
  <c r="A267" i="43" s="1"/>
  <c r="A268" i="43" s="1"/>
  <c r="A269" i="43" s="1"/>
  <c r="A270" i="43" s="1"/>
  <c r="A272" i="43" s="1"/>
  <c r="A274" i="43" s="1"/>
  <c r="A275" i="43" s="1"/>
  <c r="A276" i="43" s="1"/>
  <c r="A277" i="43" s="1"/>
  <c r="A278" i="43" s="1"/>
  <c r="A279" i="43" s="1"/>
  <c r="A280" i="43" s="1"/>
  <c r="A281" i="43" s="1"/>
  <c r="A282" i="43" s="1"/>
  <c r="A283" i="43" s="1"/>
  <c r="A284" i="43" s="1"/>
  <c r="A285" i="43" s="1"/>
  <c r="A286" i="43" s="1"/>
  <c r="A287" i="43" s="1"/>
  <c r="A288" i="43" s="1"/>
  <c r="A289" i="43" s="1"/>
  <c r="A290" i="43" s="1"/>
  <c r="A291" i="43" s="1"/>
  <c r="A292" i="43" s="1"/>
  <c r="A293" i="43" s="1"/>
  <c r="A294" i="43" s="1"/>
  <c r="A295" i="43" s="1"/>
  <c r="A299" i="43" s="1"/>
  <c r="A300" i="43" s="1"/>
  <c r="A301" i="43" s="1"/>
  <c r="A302" i="43" s="1"/>
  <c r="A304" i="43" s="1"/>
  <c r="A305" i="43" s="1"/>
  <c r="A307" i="43" s="1"/>
  <c r="A308" i="43" s="1"/>
  <c r="A309" i="43" s="1"/>
  <c r="A310" i="43" s="1"/>
  <c r="A311" i="43" s="1"/>
  <c r="A312" i="43" s="1"/>
  <c r="A313" i="43" s="1"/>
  <c r="A316" i="43" s="1"/>
  <c r="A317" i="43" s="1"/>
  <c r="A318" i="43" s="1"/>
  <c r="A319" i="43" s="1"/>
  <c r="A320" i="43" s="1"/>
  <c r="A322" i="43" s="1"/>
  <c r="A323" i="43" s="1"/>
  <c r="A325" i="43" s="1"/>
  <c r="A326" i="43" s="1"/>
  <c r="A327" i="43" s="1"/>
  <c r="A328" i="43" s="1"/>
  <c r="A329" i="43" s="1"/>
  <c r="A330" i="43" s="1"/>
  <c r="A331" i="43" s="1"/>
  <c r="A332" i="43" s="1"/>
  <c r="A333" i="43" s="1"/>
  <c r="A334" i="43" s="1"/>
  <c r="A335" i="43" s="1"/>
  <c r="A336" i="43" s="1"/>
  <c r="A342" i="43" s="1"/>
  <c r="A343" i="43" s="1"/>
  <c r="A344" i="43" s="1"/>
  <c r="A345" i="43" s="1"/>
  <c r="A346" i="43" s="1"/>
  <c r="A347" i="43" s="1"/>
  <c r="A348" i="43" s="1"/>
  <c r="A349" i="43" s="1"/>
  <c r="A350" i="43" s="1"/>
  <c r="A351" i="43" s="1"/>
  <c r="A352" i="43" s="1"/>
  <c r="A353" i="43" s="1"/>
  <c r="A355" i="43" s="1"/>
  <c r="A356" i="43" s="1"/>
  <c r="A357" i="43" s="1"/>
  <c r="A358" i="43" s="1"/>
  <c r="A359" i="43" s="1"/>
  <c r="A360" i="43" s="1"/>
  <c r="A362" i="43" s="1"/>
  <c r="A363" i="43" s="1"/>
  <c r="A365" i="43" s="1"/>
  <c r="A366" i="43" s="1"/>
  <c r="A367" i="43" s="1"/>
  <c r="A368" i="43" s="1"/>
  <c r="A369" i="43" s="1"/>
  <c r="A370" i="43" s="1"/>
  <c r="A371" i="43" s="1"/>
  <c r="A372" i="43" s="1"/>
  <c r="A373" i="43" s="1"/>
  <c r="A374" i="43" s="1"/>
  <c r="A375" i="43" s="1"/>
  <c r="A376" i="43" s="1"/>
  <c r="A377" i="43" s="1"/>
  <c r="A378" i="43" s="1"/>
  <c r="A379" i="43" s="1"/>
  <c r="A380" i="43" s="1"/>
  <c r="A381" i="43" s="1"/>
  <c r="A383" i="43" s="1"/>
  <c r="A385" i="43" s="1"/>
  <c r="A386" i="43" s="1"/>
  <c r="A387" i="43" s="1"/>
  <c r="A389" i="43" s="1"/>
  <c r="A390" i="43" s="1"/>
  <c r="A391" i="43" s="1"/>
  <c r="A392" i="43" s="1"/>
  <c r="A393" i="43" s="1"/>
  <c r="A394" i="43" s="1"/>
  <c r="A395" i="43" s="1"/>
  <c r="A396" i="43" s="1"/>
  <c r="A397" i="43" s="1"/>
  <c r="A398" i="43" s="1"/>
  <c r="A399" i="43" s="1"/>
  <c r="A400" i="43" s="1"/>
  <c r="A401" i="43" s="1"/>
  <c r="A402" i="43" s="1"/>
  <c r="A403" i="43" s="1"/>
  <c r="A404" i="43" s="1"/>
  <c r="A405" i="43" s="1"/>
  <c r="A406" i="43" s="1"/>
  <c r="A407" i="43" s="1"/>
  <c r="A408" i="43" s="1"/>
  <c r="A409" i="43" s="1"/>
  <c r="A410" i="43" s="1"/>
  <c r="A412" i="43" s="1"/>
  <c r="A413" i="43" s="1"/>
  <c r="A414" i="43" s="1"/>
  <c r="A415" i="43" s="1"/>
  <c r="A418" i="43" s="1"/>
  <c r="A419" i="43" s="1"/>
  <c r="A420" i="43" s="1"/>
  <c r="A421" i="43" s="1"/>
  <c r="A423" i="43" s="1"/>
  <c r="A424" i="43" s="1"/>
  <c r="A425" i="43" s="1"/>
  <c r="A426" i="43" s="1"/>
  <c r="A430" i="43" s="1"/>
  <c r="A431" i="43" s="1"/>
  <c r="A432" i="43" s="1"/>
  <c r="A433" i="43" s="1"/>
  <c r="A435" i="43" s="1"/>
  <c r="A436" i="43" s="1"/>
  <c r="A438" i="43" s="1"/>
  <c r="A439" i="43" s="1"/>
  <c r="A440" i="43" s="1"/>
  <c r="A441" i="43" s="1"/>
  <c r="A442" i="43" s="1"/>
  <c r="A443" i="43" s="1"/>
  <c r="A444" i="43" s="1"/>
  <c r="A447" i="43" s="1"/>
  <c r="A448" i="43" s="1"/>
  <c r="A449" i="43" s="1"/>
  <c r="A450" i="43" s="1"/>
  <c r="A452" i="43" s="1"/>
  <c r="A453" i="43" s="1"/>
  <c r="A455" i="43" s="1"/>
  <c r="A456" i="43" s="1"/>
  <c r="A457" i="43" s="1"/>
  <c r="A458" i="43" s="1"/>
  <c r="A459" i="43" s="1"/>
  <c r="A460" i="43" s="1"/>
  <c r="A461" i="43" s="1"/>
  <c r="A464" i="43" s="1"/>
  <c r="A465" i="43" s="1"/>
  <c r="A466" i="43" s="1"/>
  <c r="A467" i="43" s="1"/>
  <c r="A469" i="43" s="1"/>
  <c r="A470" i="43" s="1"/>
  <c r="A472" i="43" s="1"/>
  <c r="A473" i="43" s="1"/>
  <c r="A474" i="43" s="1"/>
  <c r="A475" i="43" s="1"/>
  <c r="A476" i="43" s="1"/>
  <c r="A477" i="43" s="1"/>
  <c r="A478" i="43" s="1"/>
  <c r="A481" i="43" s="1"/>
  <c r="A482" i="43" s="1"/>
  <c r="A483" i="43" s="1"/>
  <c r="A484" i="43" s="1"/>
  <c r="A485" i="43" s="1"/>
  <c r="A486" i="43" s="1"/>
  <c r="A487" i="43" s="1"/>
  <c r="A488" i="43" s="1"/>
  <c r="A489" i="43" s="1"/>
  <c r="A490" i="43" s="1"/>
  <c r="A491" i="43" s="1"/>
  <c r="A492" i="43" s="1"/>
  <c r="A493" i="43" s="1"/>
  <c r="A494" i="43" s="1"/>
  <c r="A495" i="43" s="1"/>
  <c r="A496" i="43" s="1"/>
  <c r="A497" i="43" s="1"/>
  <c r="A498" i="43" s="1"/>
  <c r="A499" i="43" s="1"/>
  <c r="A500" i="43" s="1"/>
  <c r="A501" i="43" s="1"/>
  <c r="A502" i="43" s="1"/>
  <c r="A503" i="43" s="1"/>
  <c r="A504" i="43" s="1"/>
  <c r="A505" i="43" s="1"/>
  <c r="A506" i="43" s="1"/>
  <c r="A507" i="43" s="1"/>
  <c r="A508" i="43" s="1"/>
  <c r="A509" i="43" s="1"/>
  <c r="A510" i="43" s="1"/>
  <c r="A511" i="43" s="1"/>
  <c r="A512" i="43" s="1"/>
  <c r="A513" i="43" s="1"/>
  <c r="A514" i="43" s="1"/>
  <c r="A515" i="43" s="1"/>
  <c r="A516" i="43" s="1"/>
  <c r="A517" i="43" s="1"/>
  <c r="A518" i="43" s="1"/>
  <c r="A519" i="43" s="1"/>
  <c r="A520" i="43" s="1"/>
  <c r="A521" i="43" s="1"/>
  <c r="A522" i="43" s="1"/>
  <c r="A524" i="43" s="1"/>
  <c r="A525" i="43" s="1"/>
  <c r="A526" i="43" s="1"/>
  <c r="A527" i="43" s="1"/>
  <c r="A528" i="43" s="1"/>
  <c r="A529" i="43" s="1"/>
  <c r="A530" i="43" s="1"/>
  <c r="A531" i="43" s="1"/>
  <c r="A532" i="43" s="1"/>
  <c r="A533" i="43" s="1"/>
  <c r="A534" i="43" s="1"/>
  <c r="A535" i="43" s="1"/>
  <c r="A537" i="43" s="1"/>
  <c r="A538" i="43" s="1"/>
  <c r="A539" i="43" s="1"/>
  <c r="A540" i="43" s="1"/>
  <c r="A541" i="43" s="1"/>
  <c r="A542" i="43" s="1"/>
  <c r="A548" i="43" s="1"/>
  <c r="A549" i="43" s="1"/>
  <c r="A550" i="43" s="1"/>
  <c r="A551" i="43" s="1"/>
  <c r="A552" i="43" s="1"/>
  <c r="A553" i="43" s="1"/>
  <c r="A554" i="43" s="1"/>
  <c r="A555" i="43" s="1"/>
  <c r="A556" i="43" s="1"/>
  <c r="A557" i="43" s="1"/>
  <c r="A558" i="43" s="1"/>
  <c r="A559" i="43" s="1"/>
  <c r="A561" i="43" s="1"/>
  <c r="A562" i="43" s="1"/>
  <c r="A563" i="43" s="1"/>
  <c r="A564" i="43" s="1"/>
  <c r="A565" i="43" s="1"/>
  <c r="A566" i="43" s="1"/>
  <c r="A568" i="43" s="1"/>
  <c r="A569" i="43" s="1"/>
  <c r="A571" i="43" s="1"/>
  <c r="A572" i="43" s="1"/>
  <c r="A573" i="43" s="1"/>
  <c r="A574" i="43" s="1"/>
  <c r="A575" i="43" s="1"/>
  <c r="A576" i="43" s="1"/>
  <c r="A577" i="43" s="1"/>
  <c r="A578" i="43" s="1"/>
  <c r="A579" i="43" s="1"/>
  <c r="A580" i="43" s="1"/>
  <c r="A581" i="43" s="1"/>
  <c r="A582" i="43" s="1"/>
  <c r="A583" i="43" s="1"/>
  <c r="A584" i="43" s="1"/>
  <c r="A585" i="43" s="1"/>
  <c r="A586" i="43" s="1"/>
  <c r="A587" i="43" s="1"/>
  <c r="A589" i="43" s="1"/>
  <c r="A591" i="43" s="1"/>
  <c r="A592" i="43" s="1"/>
  <c r="A593" i="43" s="1"/>
  <c r="A594" i="43" s="1"/>
  <c r="A595" i="43" s="1"/>
  <c r="A596" i="43" s="1"/>
  <c r="A597" i="43" s="1"/>
  <c r="A598" i="43" s="1"/>
  <c r="A599" i="43" s="1"/>
  <c r="A600" i="43" s="1"/>
  <c r="A601" i="43" s="1"/>
  <c r="A602" i="43" s="1"/>
  <c r="A603" i="43" s="1"/>
  <c r="A604" i="43" s="1"/>
  <c r="A605" i="43" s="1"/>
  <c r="A606" i="43" s="1"/>
  <c r="A607" i="43" s="1"/>
  <c r="A608" i="43" s="1"/>
  <c r="A609" i="43" s="1"/>
  <c r="A610" i="43" s="1"/>
  <c r="A611" i="43" s="1"/>
  <c r="A612" i="43" s="1"/>
  <c r="A614" i="43" s="1"/>
  <c r="A615" i="43" s="1"/>
  <c r="A616" i="43" s="1"/>
  <c r="A617" i="43" s="1"/>
  <c r="A619" i="43" s="1"/>
  <c r="A620" i="43" s="1"/>
  <c r="A621" i="43" s="1"/>
  <c r="A622" i="43" s="1"/>
  <c r="A623" i="43" s="1"/>
  <c r="A624" i="43" s="1"/>
  <c r="A630" i="43" s="1"/>
  <c r="A631" i="43" s="1"/>
  <c r="A632" i="43" s="1"/>
  <c r="A633" i="43" s="1"/>
  <c r="A634" i="43" s="1"/>
  <c r="A635" i="43" s="1"/>
  <c r="A636" i="43" s="1"/>
  <c r="A637" i="43" s="1"/>
  <c r="A638" i="43" s="1"/>
  <c r="A639" i="43" s="1"/>
  <c r="A640" i="43" s="1"/>
  <c r="A641" i="43" s="1"/>
  <c r="A643" i="43" s="1"/>
  <c r="A644" i="43" s="1"/>
  <c r="A645" i="43" s="1"/>
  <c r="A646" i="43" s="1"/>
  <c r="A647" i="43" s="1"/>
  <c r="A648" i="43" s="1"/>
  <c r="A649" i="43" s="1"/>
  <c r="A651" i="43" s="1"/>
  <c r="A652" i="43" s="1"/>
  <c r="A654" i="43" s="1"/>
  <c r="A655" i="43" s="1"/>
  <c r="A656" i="43" s="1"/>
  <c r="A657" i="43" s="1"/>
  <c r="A658" i="43" s="1"/>
  <c r="A659" i="43" s="1"/>
  <c r="A660" i="43" s="1"/>
  <c r="A661" i="43" s="1"/>
  <c r="A662" i="43" s="1"/>
  <c r="A663" i="43" s="1"/>
  <c r="A664" i="43" s="1"/>
  <c r="A665" i="43" s="1"/>
  <c r="A667" i="43" s="1"/>
  <c r="A669" i="43" s="1"/>
  <c r="A670" i="43" s="1"/>
  <c r="A671" i="43" s="1"/>
  <c r="A672" i="43" s="1"/>
  <c r="A673" i="43" s="1"/>
  <c r="A674" i="43" s="1"/>
  <c r="A675" i="43" s="1"/>
  <c r="A676" i="43" s="1"/>
  <c r="A677" i="43" s="1"/>
  <c r="A678" i="43" s="1"/>
  <c r="A679" i="43" s="1"/>
  <c r="A680" i="43" s="1"/>
  <c r="A681" i="43" s="1"/>
  <c r="A682" i="43" s="1"/>
  <c r="A683" i="43" s="1"/>
  <c r="A684" i="43" s="1"/>
  <c r="A685" i="43" s="1"/>
  <c r="A686" i="43" s="1"/>
  <c r="A687" i="43" s="1"/>
  <c r="A688" i="43" s="1"/>
  <c r="A691" i="43" s="1"/>
  <c r="A692" i="43" s="1"/>
  <c r="A693" i="43" s="1"/>
  <c r="A694" i="43" s="1"/>
  <c r="A695" i="43" s="1"/>
  <c r="A696" i="43" s="1"/>
  <c r="A697" i="43" s="1"/>
  <c r="A698" i="43" s="1"/>
  <c r="A699" i="43" s="1"/>
  <c r="A700" i="43" s="1"/>
  <c r="A701" i="43" s="1"/>
  <c r="A702" i="43" s="1"/>
  <c r="A708" i="43" s="1"/>
  <c r="A709" i="43" s="1"/>
  <c r="A710" i="43" s="1"/>
  <c r="A711" i="43" s="1"/>
  <c r="A712" i="43" s="1"/>
  <c r="A713" i="43" s="1"/>
  <c r="A714" i="43" s="1"/>
  <c r="A715" i="43" s="1"/>
  <c r="A716" i="43" s="1"/>
  <c r="A717" i="43" s="1"/>
  <c r="A718" i="43" s="1"/>
  <c r="A719" i="43" s="1"/>
  <c r="A721" i="43" s="1"/>
  <c r="A722" i="43" s="1"/>
  <c r="A723" i="43" s="1"/>
  <c r="A724" i="43" s="1"/>
  <c r="A725" i="43" s="1"/>
  <c r="A726" i="43" s="1"/>
  <c r="Z835" i="43"/>
  <c r="Y613" i="43"/>
  <c r="AB618" i="43"/>
  <c r="J276" i="44" l="1"/>
  <c r="J266" i="44"/>
  <c r="R219" i="44"/>
  <c r="J150" i="44"/>
  <c r="K150" i="44" s="1"/>
  <c r="L150" i="44" s="1"/>
  <c r="J148" i="44"/>
  <c r="K148" i="44" s="1"/>
  <c r="L148" i="44" s="1"/>
  <c r="M60" i="44"/>
  <c r="J404" i="44"/>
  <c r="K404" i="44" s="1"/>
  <c r="J288" i="44"/>
  <c r="K288" i="44" s="1"/>
  <c r="J286" i="44"/>
  <c r="K286" i="44" s="1"/>
  <c r="J284" i="44"/>
  <c r="K284" i="44" s="1"/>
  <c r="J434" i="44"/>
  <c r="K434" i="44" s="1"/>
  <c r="J281" i="44"/>
  <c r="J144" i="44"/>
  <c r="K144" i="44" s="1"/>
  <c r="L144" i="44" s="1"/>
  <c r="J408" i="44"/>
  <c r="P59" i="44"/>
  <c r="J538" i="44"/>
  <c r="J514" i="44"/>
  <c r="J512" i="44"/>
  <c r="K512" i="44" s="1"/>
  <c r="J454" i="44"/>
  <c r="K454" i="44" s="1"/>
  <c r="J142" i="44"/>
  <c r="K142" i="44" s="1"/>
  <c r="L142" i="44" s="1"/>
  <c r="J140" i="44"/>
  <c r="K140" i="44" s="1"/>
  <c r="L140" i="44" s="1"/>
  <c r="J137" i="44"/>
  <c r="K137" i="44" s="1"/>
  <c r="L137" i="44" s="1"/>
  <c r="J134" i="44"/>
  <c r="K134" i="44" s="1"/>
  <c r="L134" i="44" s="1"/>
  <c r="J132" i="44"/>
  <c r="K132" i="44" s="1"/>
  <c r="L132" i="44" s="1"/>
  <c r="J128" i="44"/>
  <c r="K128" i="44" s="1"/>
  <c r="L128" i="44" s="1"/>
  <c r="J475" i="44"/>
  <c r="K475" i="44" s="1"/>
  <c r="J449" i="44"/>
  <c r="J543" i="44"/>
  <c r="K543" i="44" s="1"/>
  <c r="L543" i="44" s="1"/>
  <c r="J541" i="44"/>
  <c r="J539" i="44"/>
  <c r="J437" i="44"/>
  <c r="K437" i="44" s="1"/>
  <c r="J402" i="44"/>
  <c r="K402" i="44" s="1"/>
  <c r="J399" i="44"/>
  <c r="K399" i="44" s="1"/>
  <c r="J519" i="44"/>
  <c r="J510" i="44"/>
  <c r="K510" i="44" s="1"/>
  <c r="J508" i="44"/>
  <c r="K508" i="44" s="1"/>
  <c r="J496" i="44"/>
  <c r="J317" i="44"/>
  <c r="K317" i="44" s="1"/>
  <c r="J567" i="44"/>
  <c r="J511" i="44"/>
  <c r="J25" i="44"/>
  <c r="K25" i="44" s="1"/>
  <c r="L25" i="44" s="1"/>
  <c r="J536" i="44"/>
  <c r="J30" i="44"/>
  <c r="K30" i="44" s="1"/>
  <c r="L30" i="44" s="1"/>
  <c r="J23" i="44"/>
  <c r="K23" i="44" s="1"/>
  <c r="L23" i="44" s="1"/>
  <c r="J17" i="44"/>
  <c r="K17" i="44" s="1"/>
  <c r="L17" i="44" s="1"/>
  <c r="J15" i="44"/>
  <c r="K15" i="44" s="1"/>
  <c r="L15" i="44" s="1"/>
  <c r="J13" i="44"/>
  <c r="K13" i="44" s="1"/>
  <c r="L13" i="44" s="1"/>
  <c r="J551" i="44"/>
  <c r="K551" i="44" s="1"/>
  <c r="L551" i="44" s="1"/>
  <c r="J528" i="44"/>
  <c r="J474" i="44"/>
  <c r="J466" i="44"/>
  <c r="J441" i="44"/>
  <c r="K441" i="44" s="1"/>
  <c r="L441" i="44" s="1"/>
  <c r="J439" i="44"/>
  <c r="K439" i="44" s="1"/>
  <c r="J393" i="44"/>
  <c r="J388" i="44"/>
  <c r="K388" i="44" s="1"/>
  <c r="J311" i="44"/>
  <c r="K311" i="44" s="1"/>
  <c r="J274" i="44"/>
  <c r="J264" i="44"/>
  <c r="J126" i="44"/>
  <c r="K126" i="44" s="1"/>
  <c r="L126" i="44" s="1"/>
  <c r="J124" i="44"/>
  <c r="K124" i="44" s="1"/>
  <c r="L124" i="44" s="1"/>
  <c r="J122" i="44"/>
  <c r="K122" i="44" s="1"/>
  <c r="L122" i="44" s="1"/>
  <c r="J119" i="44"/>
  <c r="K119" i="44" s="1"/>
  <c r="L119" i="44" s="1"/>
  <c r="J116" i="44"/>
  <c r="K116" i="44" s="1"/>
  <c r="L116" i="44" s="1"/>
  <c r="J114" i="44"/>
  <c r="K114" i="44" s="1"/>
  <c r="L114" i="44" s="1"/>
  <c r="J110" i="44"/>
  <c r="K110" i="44" s="1"/>
  <c r="L110" i="44" s="1"/>
  <c r="J103" i="44"/>
  <c r="K103" i="44" s="1"/>
  <c r="L103" i="44" s="1"/>
  <c r="J100" i="44"/>
  <c r="K100" i="44" s="1"/>
  <c r="L100" i="44" s="1"/>
  <c r="J98" i="44"/>
  <c r="K98" i="44" s="1"/>
  <c r="L98" i="44" s="1"/>
  <c r="J94" i="44"/>
  <c r="K94" i="44" s="1"/>
  <c r="L94" i="44" s="1"/>
  <c r="J92" i="44"/>
  <c r="K92" i="44" s="1"/>
  <c r="L92" i="44" s="1"/>
  <c r="J90" i="44"/>
  <c r="K90" i="44" s="1"/>
  <c r="L90" i="44" s="1"/>
  <c r="J88" i="44"/>
  <c r="K88" i="44" s="1"/>
  <c r="L88" i="44" s="1"/>
  <c r="J85" i="44"/>
  <c r="K85" i="44" s="1"/>
  <c r="L85" i="44" s="1"/>
  <c r="J82" i="44"/>
  <c r="K82" i="44" s="1"/>
  <c r="L82" i="44" s="1"/>
  <c r="J80" i="44"/>
  <c r="K80" i="44" s="1"/>
  <c r="L80" i="44" s="1"/>
  <c r="J75" i="44"/>
  <c r="K75" i="44" s="1"/>
  <c r="L75" i="44" s="1"/>
  <c r="J71" i="44"/>
  <c r="K71" i="44" s="1"/>
  <c r="L71" i="44" s="1"/>
  <c r="J609" i="44"/>
  <c r="K609" i="44" s="1"/>
  <c r="L609" i="44" s="1"/>
  <c r="J598" i="44"/>
  <c r="K598" i="44" s="1"/>
  <c r="J548" i="44"/>
  <c r="J533" i="44"/>
  <c r="J531" i="44"/>
  <c r="J476" i="44"/>
  <c r="J396" i="44"/>
  <c r="K396" i="44" s="1"/>
  <c r="J381" i="44"/>
  <c r="K381" i="44" s="1"/>
  <c r="J320" i="44"/>
  <c r="K320" i="44" s="1"/>
  <c r="J314" i="44"/>
  <c r="K314" i="44" s="1"/>
  <c r="J275" i="44"/>
  <c r="J273" i="44"/>
  <c r="K273" i="44" s="1"/>
  <c r="L273" i="44" s="1"/>
  <c r="J265" i="44"/>
  <c r="J263" i="44"/>
  <c r="K263" i="44" s="1"/>
  <c r="L263" i="44" s="1"/>
  <c r="J546" i="44"/>
  <c r="K546" i="44" s="1"/>
  <c r="L546" i="44" s="1"/>
  <c r="J596" i="44"/>
  <c r="K596" i="44" s="1"/>
  <c r="J591" i="44"/>
  <c r="K591" i="44" s="1"/>
  <c r="J575" i="44"/>
  <c r="J573" i="44"/>
  <c r="K573" i="44" s="1"/>
  <c r="L573" i="44" s="1"/>
  <c r="J570" i="44"/>
  <c r="J561" i="44"/>
  <c r="K561" i="44" s="1"/>
  <c r="L561" i="44" s="1"/>
  <c r="J524" i="44"/>
  <c r="J497" i="44"/>
  <c r="J495" i="44"/>
  <c r="J493" i="44"/>
  <c r="K493" i="44" s="1"/>
  <c r="L493" i="44" s="1"/>
  <c r="J491" i="44"/>
  <c r="J483" i="44"/>
  <c r="K483" i="44" s="1"/>
  <c r="J479" i="44"/>
  <c r="K479" i="44" s="1"/>
  <c r="J459" i="44"/>
  <c r="K459" i="44" s="1"/>
  <c r="L459" i="44" s="1"/>
  <c r="J442" i="44"/>
  <c r="J440" i="44"/>
  <c r="K440" i="44" s="1"/>
  <c r="J400" i="44"/>
  <c r="K400" i="44" s="1"/>
  <c r="J392" i="44"/>
  <c r="K392" i="44" s="1"/>
  <c r="L392" i="44" s="1"/>
  <c r="J383" i="44"/>
  <c r="K383" i="44" s="1"/>
  <c r="J371" i="44"/>
  <c r="K371" i="44" s="1"/>
  <c r="L371" i="44" s="1"/>
  <c r="J318" i="44"/>
  <c r="K318" i="44" s="1"/>
  <c r="J310" i="44"/>
  <c r="K310" i="44" s="1"/>
  <c r="J303" i="44"/>
  <c r="K303" i="44" s="1"/>
  <c r="J280" i="44"/>
  <c r="J278" i="44"/>
  <c r="J267" i="44"/>
  <c r="K267" i="44" s="1"/>
  <c r="L267" i="44" s="1"/>
  <c r="J258" i="44"/>
  <c r="J239" i="44"/>
  <c r="J237" i="44"/>
  <c r="J229" i="44"/>
  <c r="K229" i="44" s="1"/>
  <c r="J205" i="44"/>
  <c r="K205" i="44" s="1"/>
  <c r="L205" i="44" s="1"/>
  <c r="J183" i="44"/>
  <c r="K183" i="44" s="1"/>
  <c r="L183" i="44" s="1"/>
  <c r="J179" i="44"/>
  <c r="K179" i="44" s="1"/>
  <c r="L179" i="44" s="1"/>
  <c r="J177" i="44"/>
  <c r="K177" i="44" s="1"/>
  <c r="L177" i="44" s="1"/>
  <c r="J175" i="44"/>
  <c r="K175" i="44" s="1"/>
  <c r="L175" i="44" s="1"/>
  <c r="J72" i="44"/>
  <c r="K72" i="44" s="1"/>
  <c r="L72" i="44" s="1"/>
  <c r="J66" i="44"/>
  <c r="K66" i="44" s="1"/>
  <c r="L66" i="44" s="1"/>
  <c r="J42" i="44"/>
  <c r="K42" i="44" s="1"/>
  <c r="L42" i="44" s="1"/>
  <c r="J69" i="44"/>
  <c r="K69" i="44" s="1"/>
  <c r="L69" i="44" s="1"/>
  <c r="J67" i="44"/>
  <c r="K67" i="44" s="1"/>
  <c r="L67" i="44" s="1"/>
  <c r="J41" i="44"/>
  <c r="K41" i="44" s="1"/>
  <c r="L41" i="44" s="1"/>
  <c r="J569" i="44"/>
  <c r="K569" i="44" s="1"/>
  <c r="L569" i="44" s="1"/>
  <c r="J564" i="44"/>
  <c r="J562" i="44"/>
  <c r="J556" i="44"/>
  <c r="J489" i="44"/>
  <c r="K489" i="44" s="1"/>
  <c r="J469" i="44"/>
  <c r="J462" i="44"/>
  <c r="K462" i="44" s="1"/>
  <c r="J460" i="44"/>
  <c r="J455" i="44"/>
  <c r="K455" i="44" s="1"/>
  <c r="L455" i="44" s="1"/>
  <c r="L437" i="44"/>
  <c r="J382" i="44"/>
  <c r="K382" i="44" s="1"/>
  <c r="J368" i="44"/>
  <c r="J277" i="44"/>
  <c r="K277" i="44" s="1"/>
  <c r="L277" i="44" s="1"/>
  <c r="J271" i="44"/>
  <c r="J268" i="44"/>
  <c r="K268" i="44" s="1"/>
  <c r="L268" i="44" s="1"/>
  <c r="J253" i="44"/>
  <c r="K253" i="44" s="1"/>
  <c r="J250" i="44"/>
  <c r="K250" i="44" s="1"/>
  <c r="J243" i="44"/>
  <c r="J217" i="44"/>
  <c r="K217" i="44" s="1"/>
  <c r="L217" i="44" s="1"/>
  <c r="J552" i="44"/>
  <c r="J530" i="44"/>
  <c r="K530" i="44" s="1"/>
  <c r="L530" i="44" s="1"/>
  <c r="J520" i="44"/>
  <c r="K520" i="44" s="1"/>
  <c r="L520" i="44" s="1"/>
  <c r="J602" i="44"/>
  <c r="J599" i="44"/>
  <c r="J594" i="44"/>
  <c r="K594" i="44" s="1"/>
  <c r="J590" i="44"/>
  <c r="J576" i="44"/>
  <c r="J554" i="44"/>
  <c r="J544" i="44"/>
  <c r="K544" i="44" s="1"/>
  <c r="L544" i="44" s="1"/>
  <c r="J522" i="44"/>
  <c r="J451" i="44"/>
  <c r="J444" i="44"/>
  <c r="J438" i="44"/>
  <c r="K438" i="44" s="1"/>
  <c r="L438" i="44" s="1"/>
  <c r="J379" i="44"/>
  <c r="K379" i="44" s="1"/>
  <c r="J255" i="44"/>
  <c r="J37" i="44"/>
  <c r="K37" i="44" s="1"/>
  <c r="L37" i="44" s="1"/>
  <c r="J608" i="44"/>
  <c r="K608" i="44" s="1"/>
  <c r="J606" i="44"/>
  <c r="K606" i="44" s="1"/>
  <c r="L606" i="44" s="1"/>
  <c r="J584" i="44"/>
  <c r="K584" i="44" s="1"/>
  <c r="J563" i="44"/>
  <c r="K563" i="44" s="1"/>
  <c r="L563" i="44" s="1"/>
  <c r="J549" i="44"/>
  <c r="K549" i="44" s="1"/>
  <c r="L549" i="44" s="1"/>
  <c r="J547" i="44"/>
  <c r="J532" i="44"/>
  <c r="J527" i="44"/>
  <c r="J517" i="44"/>
  <c r="J494" i="44"/>
  <c r="K494" i="44" s="1"/>
  <c r="J448" i="44"/>
  <c r="K448" i="44" s="1"/>
  <c r="J411" i="44"/>
  <c r="K411" i="44" s="1"/>
  <c r="L411" i="44" s="1"/>
  <c r="J405" i="44"/>
  <c r="K405" i="44" s="1"/>
  <c r="L399" i="44"/>
  <c r="J397" i="44"/>
  <c r="K397" i="44" s="1"/>
  <c r="J380" i="44"/>
  <c r="K380" i="44" s="1"/>
  <c r="J363" i="44"/>
  <c r="K363" i="44" s="1"/>
  <c r="J321" i="44"/>
  <c r="K321" i="44" s="1"/>
  <c r="J307" i="44"/>
  <c r="K307" i="44" s="1"/>
  <c r="J298" i="44"/>
  <c r="J293" i="44"/>
  <c r="K293" i="44" s="1"/>
  <c r="L293" i="44" s="1"/>
  <c r="J291" i="44"/>
  <c r="J245" i="44"/>
  <c r="K245" i="44" s="1"/>
  <c r="J240" i="44"/>
  <c r="K240" i="44" s="1"/>
  <c r="L240" i="44" s="1"/>
  <c r="L236" i="44"/>
  <c r="J219" i="44"/>
  <c r="J203" i="44"/>
  <c r="K203" i="44" s="1"/>
  <c r="L203" i="44" s="1"/>
  <c r="J65" i="44"/>
  <c r="K65" i="44" s="1"/>
  <c r="L65" i="44" s="1"/>
  <c r="J45" i="44"/>
  <c r="K45" i="44" s="1"/>
  <c r="L45" i="44" s="1"/>
  <c r="J39" i="44"/>
  <c r="K39" i="44" s="1"/>
  <c r="L39" i="44" s="1"/>
  <c r="J34" i="44"/>
  <c r="K34" i="44" s="1"/>
  <c r="L34" i="44" s="1"/>
  <c r="J571" i="44"/>
  <c r="K571" i="44" s="1"/>
  <c r="L571" i="44" s="1"/>
  <c r="J566" i="44"/>
  <c r="K566" i="44" s="1"/>
  <c r="L566" i="44" s="1"/>
  <c r="J557" i="44"/>
  <c r="J555" i="44"/>
  <c r="J540" i="44"/>
  <c r="K540" i="44" s="1"/>
  <c r="L540" i="44" s="1"/>
  <c r="J535" i="44"/>
  <c r="J525" i="44"/>
  <c r="J523" i="44"/>
  <c r="J484" i="44"/>
  <c r="K484" i="44" s="1"/>
  <c r="J480" i="44"/>
  <c r="K480" i="44" s="1"/>
  <c r="L480" i="44" s="1"/>
  <c r="J471" i="44"/>
  <c r="J461" i="44"/>
  <c r="K461" i="44" s="1"/>
  <c r="J436" i="44"/>
  <c r="K436" i="44" s="1"/>
  <c r="J403" i="44"/>
  <c r="K403" i="44" s="1"/>
  <c r="J389" i="44"/>
  <c r="K389" i="44" s="1"/>
  <c r="J385" i="44"/>
  <c r="K385" i="44" s="1"/>
  <c r="J370" i="44"/>
  <c r="J316" i="44"/>
  <c r="K316" i="44" s="1"/>
  <c r="L308" i="44"/>
  <c r="J302" i="44"/>
  <c r="K302" i="44" s="1"/>
  <c r="J261" i="44"/>
  <c r="K261" i="44" s="1"/>
  <c r="J246" i="44"/>
  <c r="K246" i="44" s="1"/>
  <c r="L246" i="44" s="1"/>
  <c r="J232" i="44"/>
  <c r="K232" i="44" s="1"/>
  <c r="L232" i="44" s="1"/>
  <c r="J230" i="44"/>
  <c r="J215" i="44"/>
  <c r="K215" i="44" s="1"/>
  <c r="J210" i="44"/>
  <c r="K210" i="44" s="1"/>
  <c r="L210" i="44" s="1"/>
  <c r="J64" i="44"/>
  <c r="K64" i="44" s="1"/>
  <c r="L64" i="44" s="1"/>
  <c r="J62" i="44"/>
  <c r="K62" i="44" s="1"/>
  <c r="L62" i="44" s="1"/>
  <c r="J60" i="44"/>
  <c r="K60" i="44" s="1"/>
  <c r="L60" i="44" s="1"/>
  <c r="J58" i="44"/>
  <c r="K58" i="44" s="1"/>
  <c r="L58" i="44" s="1"/>
  <c r="J56" i="44"/>
  <c r="K56" i="44" s="1"/>
  <c r="L56" i="44" s="1"/>
  <c r="J52" i="44"/>
  <c r="K52" i="44" s="1"/>
  <c r="L52" i="44" s="1"/>
  <c r="J50" i="44"/>
  <c r="K50" i="44" s="1"/>
  <c r="L50" i="44" s="1"/>
  <c r="J48" i="44"/>
  <c r="K48" i="44" s="1"/>
  <c r="L48" i="44" s="1"/>
  <c r="J46" i="44"/>
  <c r="K46" i="44" s="1"/>
  <c r="L46" i="44" s="1"/>
  <c r="J44" i="44"/>
  <c r="K44" i="44" s="1"/>
  <c r="L44" i="44" s="1"/>
  <c r="J40" i="44"/>
  <c r="K40" i="44" s="1"/>
  <c r="L40" i="44" s="1"/>
  <c r="J38" i="44"/>
  <c r="K38" i="44" s="1"/>
  <c r="L38" i="44" s="1"/>
  <c r="J31" i="44"/>
  <c r="K31" i="44" s="1"/>
  <c r="L31" i="44" s="1"/>
  <c r="J16" i="44"/>
  <c r="K16" i="44" s="1"/>
  <c r="L16" i="44" s="1"/>
  <c r="J12" i="44"/>
  <c r="K12" i="44" s="1"/>
  <c r="L12" i="44" s="1"/>
  <c r="J108" i="44"/>
  <c r="K108" i="44" s="1"/>
  <c r="L108" i="44" s="1"/>
  <c r="J106" i="44"/>
  <c r="K106" i="44" s="1"/>
  <c r="L106" i="44" s="1"/>
  <c r="J605" i="44"/>
  <c r="J603" i="44"/>
  <c r="K603" i="44" s="1"/>
  <c r="L603" i="44" s="1"/>
  <c r="J597" i="44"/>
  <c r="K597" i="44" s="1"/>
  <c r="K469" i="44"/>
  <c r="L469" i="44" s="1"/>
  <c r="M377" i="44"/>
  <c r="J586" i="44"/>
  <c r="K586" i="44" s="1"/>
  <c r="L586" i="44" s="1"/>
  <c r="J509" i="44"/>
  <c r="J492" i="44"/>
  <c r="J478" i="44"/>
  <c r="J467" i="44"/>
  <c r="K467" i="44" s="1"/>
  <c r="L467" i="44" s="1"/>
  <c r="J445" i="44"/>
  <c r="L434" i="44"/>
  <c r="J433" i="44"/>
  <c r="J431" i="44"/>
  <c r="K431" i="44" s="1"/>
  <c r="L431" i="44" s="1"/>
  <c r="J429" i="44"/>
  <c r="J427" i="44"/>
  <c r="J424" i="44"/>
  <c r="J422" i="44"/>
  <c r="K422" i="44" s="1"/>
  <c r="L422" i="44" s="1"/>
  <c r="J418" i="44"/>
  <c r="K418" i="44" s="1"/>
  <c r="L418" i="44" s="1"/>
  <c r="J416" i="44"/>
  <c r="K416" i="44" s="1"/>
  <c r="L416" i="44" s="1"/>
  <c r="K278" i="44"/>
  <c r="L278" i="44" s="1"/>
  <c r="K274" i="44"/>
  <c r="L274" i="44" s="1"/>
  <c r="K264" i="44"/>
  <c r="L264" i="44" s="1"/>
  <c r="J607" i="44"/>
  <c r="K607" i="44" s="1"/>
  <c r="L607" i="44" s="1"/>
  <c r="J574" i="44"/>
  <c r="J565" i="44"/>
  <c r="K565" i="44" s="1"/>
  <c r="L565" i="44" s="1"/>
  <c r="J558" i="44"/>
  <c r="J550" i="44"/>
  <c r="K550" i="44" s="1"/>
  <c r="L550" i="44" s="1"/>
  <c r="J542" i="44"/>
  <c r="K542" i="44" s="1"/>
  <c r="L542" i="44" s="1"/>
  <c r="J534" i="44"/>
  <c r="K534" i="44" s="1"/>
  <c r="L534" i="44" s="1"/>
  <c r="J526" i="44"/>
  <c r="J518" i="44"/>
  <c r="K518" i="44" s="1"/>
  <c r="L518" i="44" s="1"/>
  <c r="J506" i="44"/>
  <c r="K506" i="44" s="1"/>
  <c r="L506" i="44" s="1"/>
  <c r="J486" i="44"/>
  <c r="K486" i="44" s="1"/>
  <c r="L486" i="44" s="1"/>
  <c r="J472" i="44"/>
  <c r="J450" i="44"/>
  <c r="K450" i="44" s="1"/>
  <c r="L450" i="44" s="1"/>
  <c r="K354" i="44"/>
  <c r="L354" i="44" s="1"/>
  <c r="K279" i="44"/>
  <c r="L279" i="44" s="1"/>
  <c r="K275" i="44"/>
  <c r="L275" i="44" s="1"/>
  <c r="K265" i="44"/>
  <c r="L265" i="44" s="1"/>
  <c r="J604" i="44"/>
  <c r="K604" i="44" s="1"/>
  <c r="L604" i="44" s="1"/>
  <c r="J587" i="44"/>
  <c r="K587" i="44" s="1"/>
  <c r="L587" i="44" s="1"/>
  <c r="J585" i="44"/>
  <c r="K585" i="44" s="1"/>
  <c r="J577" i="44"/>
  <c r="J568" i="44"/>
  <c r="K568" i="44" s="1"/>
  <c r="L568" i="44" s="1"/>
  <c r="J560" i="44"/>
  <c r="J553" i="44"/>
  <c r="J545" i="44"/>
  <c r="J537" i="44"/>
  <c r="K537" i="44" s="1"/>
  <c r="L537" i="44" s="1"/>
  <c r="J529" i="44"/>
  <c r="J521" i="44"/>
  <c r="J513" i="44"/>
  <c r="J505" i="44"/>
  <c r="K505" i="44" s="1"/>
  <c r="L505" i="44" s="1"/>
  <c r="J502" i="44"/>
  <c r="J500" i="44"/>
  <c r="J488" i="44"/>
  <c r="J485" i="44"/>
  <c r="K485" i="44" s="1"/>
  <c r="L485" i="44" s="1"/>
  <c r="J477" i="44"/>
  <c r="J468" i="44"/>
  <c r="J456" i="44"/>
  <c r="J446" i="44"/>
  <c r="J443" i="44"/>
  <c r="K443" i="44" s="1"/>
  <c r="J432" i="44"/>
  <c r="J430" i="44"/>
  <c r="K430" i="44" s="1"/>
  <c r="L430" i="44" s="1"/>
  <c r="J428" i="44"/>
  <c r="K428" i="44" s="1"/>
  <c r="L428" i="44" s="1"/>
  <c r="J426" i="44"/>
  <c r="K426" i="44" s="1"/>
  <c r="L426" i="44" s="1"/>
  <c r="J423" i="44"/>
  <c r="J420" i="44"/>
  <c r="K420" i="44" s="1"/>
  <c r="L420" i="44" s="1"/>
  <c r="J384" i="44"/>
  <c r="K384" i="44" s="1"/>
  <c r="J362" i="44"/>
  <c r="K362" i="44" s="1"/>
  <c r="J315" i="44"/>
  <c r="K315" i="44" s="1"/>
  <c r="K280" i="44"/>
  <c r="L280" i="44" s="1"/>
  <c r="K276" i="44"/>
  <c r="L276" i="44" s="1"/>
  <c r="K271" i="44"/>
  <c r="L271" i="44" s="1"/>
  <c r="K266" i="44"/>
  <c r="L266" i="44" s="1"/>
  <c r="J260" i="44"/>
  <c r="K260" i="44" s="1"/>
  <c r="L253" i="44"/>
  <c r="J213" i="44"/>
  <c r="L475" i="44"/>
  <c r="K346" i="44"/>
  <c r="L346" i="44" s="1"/>
  <c r="K281" i="44"/>
  <c r="L281" i="44" s="1"/>
  <c r="J414" i="44"/>
  <c r="J412" i="44"/>
  <c r="K412" i="44" s="1"/>
  <c r="L412" i="44" s="1"/>
  <c r="J410" i="44"/>
  <c r="K410" i="44" s="1"/>
  <c r="L410" i="44" s="1"/>
  <c r="J407" i="44"/>
  <c r="K407" i="44" s="1"/>
  <c r="J373" i="44"/>
  <c r="J299" i="44"/>
  <c r="K299" i="44" s="1"/>
  <c r="L299" i="44" s="1"/>
  <c r="J297" i="44"/>
  <c r="J292" i="44"/>
  <c r="J290" i="44"/>
  <c r="J282" i="44"/>
  <c r="K282" i="44" s="1"/>
  <c r="J259" i="44"/>
  <c r="K259" i="44" s="1"/>
  <c r="J235" i="44"/>
  <c r="K235" i="44" s="1"/>
  <c r="J208" i="44"/>
  <c r="K208" i="44" s="1"/>
  <c r="L208" i="44" s="1"/>
  <c r="J184" i="44"/>
  <c r="K184" i="44" s="1"/>
  <c r="L184" i="44" s="1"/>
  <c r="J182" i="44"/>
  <c r="K182" i="44" s="1"/>
  <c r="L182" i="44" s="1"/>
  <c r="J178" i="44"/>
  <c r="K178" i="44" s="1"/>
  <c r="L178" i="44" s="1"/>
  <c r="J176" i="44"/>
  <c r="K176" i="44" s="1"/>
  <c r="L176" i="44" s="1"/>
  <c r="J174" i="44"/>
  <c r="K174" i="44" s="1"/>
  <c r="L174" i="44" s="1"/>
  <c r="J70" i="44"/>
  <c r="K70" i="44" s="1"/>
  <c r="L70" i="44" s="1"/>
  <c r="J21" i="44"/>
  <c r="K21" i="44" s="1"/>
  <c r="L21" i="44" s="1"/>
  <c r="J14" i="44"/>
  <c r="K14" i="44" s="1"/>
  <c r="L14" i="44" s="1"/>
  <c r="J394" i="44"/>
  <c r="K394" i="44" s="1"/>
  <c r="L394" i="44" s="1"/>
  <c r="J390" i="44"/>
  <c r="K390" i="44" s="1"/>
  <c r="L390" i="44" s="1"/>
  <c r="J305" i="44"/>
  <c r="K305" i="44" s="1"/>
  <c r="J254" i="44"/>
  <c r="K254" i="44" s="1"/>
  <c r="J233" i="44"/>
  <c r="K233" i="44" s="1"/>
  <c r="J221" i="44"/>
  <c r="K221" i="44" s="1"/>
  <c r="J218" i="44"/>
  <c r="J206" i="44"/>
  <c r="J201" i="44"/>
  <c r="K201" i="44" s="1"/>
  <c r="L201" i="44" s="1"/>
  <c r="J199" i="44"/>
  <c r="K199" i="44" s="1"/>
  <c r="L199" i="44" s="1"/>
  <c r="J195" i="44"/>
  <c r="K195" i="44" s="1"/>
  <c r="L195" i="44" s="1"/>
  <c r="J193" i="44"/>
  <c r="K193" i="44" s="1"/>
  <c r="L193" i="44" s="1"/>
  <c r="J191" i="44"/>
  <c r="K191" i="44" s="1"/>
  <c r="L191" i="44" s="1"/>
  <c r="J188" i="44"/>
  <c r="K188" i="44" s="1"/>
  <c r="L188" i="44" s="1"/>
  <c r="J185" i="44"/>
  <c r="K185" i="44" s="1"/>
  <c r="L185" i="44" s="1"/>
  <c r="J173" i="44"/>
  <c r="K173" i="44" s="1"/>
  <c r="L173" i="44" s="1"/>
  <c r="J170" i="44"/>
  <c r="K170" i="44" s="1"/>
  <c r="L170" i="44" s="1"/>
  <c r="J167" i="44"/>
  <c r="K167" i="44" s="1"/>
  <c r="L167" i="44" s="1"/>
  <c r="J165" i="44"/>
  <c r="K165" i="44" s="1"/>
  <c r="L165" i="44" s="1"/>
  <c r="J161" i="44"/>
  <c r="K161" i="44" s="1"/>
  <c r="L161" i="44" s="1"/>
  <c r="J159" i="44"/>
  <c r="K159" i="44" s="1"/>
  <c r="L159" i="44" s="1"/>
  <c r="J157" i="44"/>
  <c r="K157" i="44" s="1"/>
  <c r="L157" i="44" s="1"/>
  <c r="J154" i="44"/>
  <c r="K154" i="44" s="1"/>
  <c r="L154" i="44" s="1"/>
  <c r="J151" i="44"/>
  <c r="K151" i="44" s="1"/>
  <c r="L151" i="44" s="1"/>
  <c r="J149" i="44"/>
  <c r="K149" i="44" s="1"/>
  <c r="L149" i="44" s="1"/>
  <c r="J145" i="44"/>
  <c r="K145" i="44" s="1"/>
  <c r="L145" i="44" s="1"/>
  <c r="J143" i="44"/>
  <c r="K143" i="44" s="1"/>
  <c r="L143" i="44" s="1"/>
  <c r="J141" i="44"/>
  <c r="K141" i="44" s="1"/>
  <c r="L141" i="44" s="1"/>
  <c r="J139" i="44"/>
  <c r="K139" i="44" s="1"/>
  <c r="L139" i="44" s="1"/>
  <c r="J136" i="44"/>
  <c r="K136" i="44" s="1"/>
  <c r="L136" i="44" s="1"/>
  <c r="J133" i="44"/>
  <c r="K133" i="44" s="1"/>
  <c r="L133" i="44" s="1"/>
  <c r="J131" i="44"/>
  <c r="K131" i="44" s="1"/>
  <c r="L131" i="44" s="1"/>
  <c r="J127" i="44"/>
  <c r="K127" i="44" s="1"/>
  <c r="L127" i="44" s="1"/>
  <c r="J125" i="44"/>
  <c r="K125" i="44" s="1"/>
  <c r="L125" i="44" s="1"/>
  <c r="J123" i="44"/>
  <c r="K123" i="44" s="1"/>
  <c r="L123" i="44" s="1"/>
  <c r="J120" i="44"/>
  <c r="K120" i="44" s="1"/>
  <c r="L120" i="44" s="1"/>
  <c r="J117" i="44"/>
  <c r="K117" i="44" s="1"/>
  <c r="L117" i="44" s="1"/>
  <c r="J115" i="44"/>
  <c r="K115" i="44" s="1"/>
  <c r="L115" i="44" s="1"/>
  <c r="J111" i="44"/>
  <c r="K111" i="44" s="1"/>
  <c r="L111" i="44" s="1"/>
  <c r="J109" i="44"/>
  <c r="K109" i="44" s="1"/>
  <c r="L109" i="44" s="1"/>
  <c r="J107" i="44"/>
  <c r="K107" i="44" s="1"/>
  <c r="L107" i="44" s="1"/>
  <c r="J105" i="44"/>
  <c r="K105" i="44" s="1"/>
  <c r="L105" i="44" s="1"/>
  <c r="J68" i="44"/>
  <c r="K68" i="44" s="1"/>
  <c r="L68" i="44" s="1"/>
  <c r="J63" i="44"/>
  <c r="K63" i="44" s="1"/>
  <c r="L63" i="44" s="1"/>
  <c r="M65" i="44" s="1"/>
  <c r="J61" i="44"/>
  <c r="K61" i="44" s="1"/>
  <c r="L61" i="44" s="1"/>
  <c r="J59" i="44"/>
  <c r="K59" i="44" s="1"/>
  <c r="L59" i="44" s="1"/>
  <c r="J57" i="44"/>
  <c r="K57" i="44" s="1"/>
  <c r="L57" i="44" s="1"/>
  <c r="J54" i="44"/>
  <c r="K54" i="44" s="1"/>
  <c r="L54" i="44" s="1"/>
  <c r="J51" i="44"/>
  <c r="K51" i="44" s="1"/>
  <c r="L51" i="44" s="1"/>
  <c r="J49" i="44"/>
  <c r="K49" i="44" s="1"/>
  <c r="L49" i="44" s="1"/>
  <c r="J47" i="44"/>
  <c r="K47" i="44" s="1"/>
  <c r="L47" i="44" s="1"/>
  <c r="J417" i="44"/>
  <c r="J415" i="44"/>
  <c r="J413" i="44"/>
  <c r="J409" i="44"/>
  <c r="J387" i="44"/>
  <c r="K387" i="44" s="1"/>
  <c r="J367" i="44"/>
  <c r="K367" i="44" s="1"/>
  <c r="J365" i="44"/>
  <c r="J306" i="44"/>
  <c r="K306" i="44" s="1"/>
  <c r="J289" i="44"/>
  <c r="K289" i="44" s="1"/>
  <c r="J287" i="44"/>
  <c r="K287" i="44" s="1"/>
  <c r="J285" i="44"/>
  <c r="K285" i="44" s="1"/>
  <c r="J283" i="44"/>
  <c r="K283" i="44" s="1"/>
  <c r="J257" i="44"/>
  <c r="K257" i="44" s="1"/>
  <c r="J248" i="44"/>
  <c r="K248" i="44" s="1"/>
  <c r="J242" i="44"/>
  <c r="K242" i="44" s="1"/>
  <c r="L242" i="44" s="1"/>
  <c r="J234" i="44"/>
  <c r="J231" i="44"/>
  <c r="K231" i="44" s="1"/>
  <c r="J204" i="44"/>
  <c r="K204" i="44" s="1"/>
  <c r="L204" i="44" s="1"/>
  <c r="J102" i="44"/>
  <c r="K102" i="44" s="1"/>
  <c r="L102" i="44" s="1"/>
  <c r="J99" i="44"/>
  <c r="K99" i="44" s="1"/>
  <c r="L99" i="44" s="1"/>
  <c r="J97" i="44"/>
  <c r="K97" i="44" s="1"/>
  <c r="L97" i="44" s="1"/>
  <c r="J93" i="44"/>
  <c r="K93" i="44" s="1"/>
  <c r="L93" i="44" s="1"/>
  <c r="J91" i="44"/>
  <c r="K91" i="44" s="1"/>
  <c r="L91" i="44" s="1"/>
  <c r="J89" i="44"/>
  <c r="K89" i="44" s="1"/>
  <c r="L89" i="44" s="1"/>
  <c r="J86" i="44"/>
  <c r="K86" i="44" s="1"/>
  <c r="L86" i="44" s="1"/>
  <c r="J83" i="44"/>
  <c r="K83" i="44" s="1"/>
  <c r="L83" i="44" s="1"/>
  <c r="J81" i="44"/>
  <c r="K81" i="44" s="1"/>
  <c r="L81" i="44" s="1"/>
  <c r="J76" i="44"/>
  <c r="K76" i="44" s="1"/>
  <c r="L76" i="44" s="1"/>
  <c r="J74" i="44"/>
  <c r="K74" i="44" s="1"/>
  <c r="L74" i="44" s="1"/>
  <c r="J43" i="44"/>
  <c r="K43" i="44" s="1"/>
  <c r="L43" i="44" s="1"/>
  <c r="J33" i="44"/>
  <c r="K33" i="44" s="1"/>
  <c r="L33" i="44" s="1"/>
  <c r="J22" i="44"/>
  <c r="K22" i="44" s="1"/>
  <c r="L22" i="44" s="1"/>
  <c r="J20" i="44"/>
  <c r="K20" i="44" s="1"/>
  <c r="L20" i="44" s="1"/>
  <c r="J18" i="44"/>
  <c r="K18" i="44" s="1"/>
  <c r="L18" i="44" s="1"/>
  <c r="K605" i="44"/>
  <c r="L605" i="44" s="1"/>
  <c r="K577" i="44"/>
  <c r="L577" i="44" s="1"/>
  <c r="K602" i="44"/>
  <c r="L602" i="44" s="1"/>
  <c r="K599" i="44"/>
  <c r="L599" i="44" s="1"/>
  <c r="K590" i="44"/>
  <c r="L590" i="44" s="1"/>
  <c r="L596" i="44"/>
  <c r="J578" i="44"/>
  <c r="K576" i="44"/>
  <c r="L576" i="44" s="1"/>
  <c r="K567" i="44"/>
  <c r="L567" i="44" s="1"/>
  <c r="K564" i="44"/>
  <c r="L564" i="44" s="1"/>
  <c r="K557" i="44"/>
  <c r="L557" i="44" s="1"/>
  <c r="K552" i="44"/>
  <c r="L552" i="44" s="1"/>
  <c r="K541" i="44"/>
  <c r="L541" i="44" s="1"/>
  <c r="K536" i="44"/>
  <c r="L536" i="44" s="1"/>
  <c r="K533" i="44"/>
  <c r="L533" i="44" s="1"/>
  <c r="K528" i="44"/>
  <c r="L528" i="44" s="1"/>
  <c r="K525" i="44"/>
  <c r="L525" i="44" s="1"/>
  <c r="K517" i="44"/>
  <c r="L517" i="44" s="1"/>
  <c r="K509" i="44"/>
  <c r="L509" i="44" s="1"/>
  <c r="K497" i="44"/>
  <c r="L497" i="44" s="1"/>
  <c r="K495" i="44"/>
  <c r="L495" i="44" s="1"/>
  <c r="K492" i="44"/>
  <c r="L492" i="44" s="1"/>
  <c r="K478" i="44"/>
  <c r="L478" i="44" s="1"/>
  <c r="J589" i="44"/>
  <c r="K574" i="44"/>
  <c r="L574" i="44" s="1"/>
  <c r="K570" i="44"/>
  <c r="L570" i="44" s="1"/>
  <c r="K562" i="44"/>
  <c r="L562" i="44" s="1"/>
  <c r="K558" i="44"/>
  <c r="L558" i="44" s="1"/>
  <c r="K555" i="44"/>
  <c r="L555" i="44" s="1"/>
  <c r="K547" i="44"/>
  <c r="L547" i="44" s="1"/>
  <c r="K539" i="44"/>
  <c r="L539" i="44" s="1"/>
  <c r="K531" i="44"/>
  <c r="L531" i="44" s="1"/>
  <c r="K526" i="44"/>
  <c r="L526" i="44" s="1"/>
  <c r="K523" i="44"/>
  <c r="L523" i="44" s="1"/>
  <c r="K491" i="44"/>
  <c r="L491" i="44" s="1"/>
  <c r="L598" i="44"/>
  <c r="L597" i="44"/>
  <c r="L584" i="44"/>
  <c r="K560" i="44"/>
  <c r="L560" i="44" s="1"/>
  <c r="K556" i="44"/>
  <c r="L556" i="44" s="1"/>
  <c r="K553" i="44"/>
  <c r="L553" i="44" s="1"/>
  <c r="K548" i="44"/>
  <c r="L548" i="44" s="1"/>
  <c r="K545" i="44"/>
  <c r="L545" i="44" s="1"/>
  <c r="K532" i="44"/>
  <c r="L532" i="44" s="1"/>
  <c r="K529" i="44"/>
  <c r="L529" i="44" s="1"/>
  <c r="K524" i="44"/>
  <c r="L524" i="44" s="1"/>
  <c r="K521" i="44"/>
  <c r="L521" i="44" s="1"/>
  <c r="K514" i="44"/>
  <c r="L514" i="44" s="1"/>
  <c r="K513" i="44"/>
  <c r="L513" i="44" s="1"/>
  <c r="K502" i="44"/>
  <c r="L502" i="44" s="1"/>
  <c r="K500" i="44"/>
  <c r="L500" i="44" s="1"/>
  <c r="K488" i="44"/>
  <c r="L488" i="44" s="1"/>
  <c r="J593" i="44"/>
  <c r="K575" i="44"/>
  <c r="L575" i="44" s="1"/>
  <c r="K554" i="44"/>
  <c r="L554" i="44" s="1"/>
  <c r="K538" i="44"/>
  <c r="L538" i="44" s="1"/>
  <c r="K535" i="44"/>
  <c r="L535" i="44" s="1"/>
  <c r="K527" i="44"/>
  <c r="L527" i="44" s="1"/>
  <c r="K522" i="44"/>
  <c r="L522" i="44" s="1"/>
  <c r="K519" i="44"/>
  <c r="L519" i="44" s="1"/>
  <c r="K511" i="44"/>
  <c r="L511" i="44" s="1"/>
  <c r="K496" i="44"/>
  <c r="L496" i="44" s="1"/>
  <c r="J503" i="44"/>
  <c r="L479" i="44"/>
  <c r="K474" i="44"/>
  <c r="L474" i="44" s="1"/>
  <c r="K468" i="44"/>
  <c r="L468" i="44" s="1"/>
  <c r="L454" i="44"/>
  <c r="K449" i="44"/>
  <c r="L449" i="44" s="1"/>
  <c r="L448" i="44"/>
  <c r="K444" i="44"/>
  <c r="L444" i="44" s="1"/>
  <c r="L443" i="44"/>
  <c r="J435" i="44"/>
  <c r="K433" i="44"/>
  <c r="L433" i="44" s="1"/>
  <c r="K429" i="44"/>
  <c r="L429" i="44" s="1"/>
  <c r="K427" i="44"/>
  <c r="L427" i="44" s="1"/>
  <c r="K424" i="44"/>
  <c r="L424" i="44" s="1"/>
  <c r="K414" i="44"/>
  <c r="L414" i="44" s="1"/>
  <c r="K373" i="44"/>
  <c r="L373" i="44" s="1"/>
  <c r="L512" i="44"/>
  <c r="L510" i="44"/>
  <c r="L494" i="44"/>
  <c r="L484" i="44"/>
  <c r="K460" i="44"/>
  <c r="L460" i="44" s="1"/>
  <c r="K451" i="44"/>
  <c r="L451" i="44" s="1"/>
  <c r="K446" i="44"/>
  <c r="L446" i="44" s="1"/>
  <c r="K408" i="44"/>
  <c r="L408" i="44" s="1"/>
  <c r="J372" i="44"/>
  <c r="J501" i="44"/>
  <c r="K472" i="44"/>
  <c r="L472" i="44" s="1"/>
  <c r="K432" i="44"/>
  <c r="L432" i="44" s="1"/>
  <c r="K423" i="44"/>
  <c r="L423" i="44" s="1"/>
  <c r="K417" i="44"/>
  <c r="L417" i="44" s="1"/>
  <c r="K415" i="44"/>
  <c r="L415" i="44" s="1"/>
  <c r="K413" i="44"/>
  <c r="L413" i="44" s="1"/>
  <c r="K477" i="44"/>
  <c r="L477" i="44" s="1"/>
  <c r="K476" i="44"/>
  <c r="L476" i="44" s="1"/>
  <c r="K471" i="44"/>
  <c r="L471" i="44" s="1"/>
  <c r="K466" i="44"/>
  <c r="L466" i="44" s="1"/>
  <c r="L462" i="44"/>
  <c r="K456" i="44"/>
  <c r="L456" i="44" s="1"/>
  <c r="K445" i="44"/>
  <c r="L445" i="44" s="1"/>
  <c r="K442" i="44"/>
  <c r="L442" i="44" s="1"/>
  <c r="L439" i="44"/>
  <c r="K370" i="44"/>
  <c r="L370" i="44" s="1"/>
  <c r="K368" i="44"/>
  <c r="L368" i="44" s="1"/>
  <c r="J364" i="44"/>
  <c r="K348" i="44"/>
  <c r="L348" i="44" s="1"/>
  <c r="K345" i="44"/>
  <c r="L345" i="44" s="1"/>
  <c r="K297" i="44"/>
  <c r="L297" i="44" s="1"/>
  <c r="K292" i="44"/>
  <c r="L292" i="44" s="1"/>
  <c r="K290" i="44"/>
  <c r="L290" i="44" s="1"/>
  <c r="L407" i="44"/>
  <c r="J406" i="44"/>
  <c r="L388" i="44"/>
  <c r="J386" i="44"/>
  <c r="K360" i="44"/>
  <c r="L360" i="44" s="1"/>
  <c r="K357" i="44"/>
  <c r="L357" i="44" s="1"/>
  <c r="L355" i="44"/>
  <c r="K344" i="44"/>
  <c r="L344" i="44" s="1"/>
  <c r="K341" i="44"/>
  <c r="L341" i="44" s="1"/>
  <c r="L461" i="44"/>
  <c r="J457" i="44"/>
  <c r="L400" i="44"/>
  <c r="K356" i="44"/>
  <c r="L356" i="44" s="1"/>
  <c r="K353" i="44"/>
  <c r="L353" i="44" s="1"/>
  <c r="L351" i="44"/>
  <c r="K340" i="44"/>
  <c r="L340" i="44" s="1"/>
  <c r="K298" i="44"/>
  <c r="L298" i="44" s="1"/>
  <c r="K291" i="44"/>
  <c r="L291" i="44" s="1"/>
  <c r="K409" i="44"/>
  <c r="L409" i="44" s="1"/>
  <c r="L404" i="44"/>
  <c r="L403" i="44"/>
  <c r="L397" i="44"/>
  <c r="L396" i="44"/>
  <c r="J395" i="44"/>
  <c r="K393" i="44"/>
  <c r="L393" i="44" s="1"/>
  <c r="L385" i="44"/>
  <c r="L383" i="44"/>
  <c r="L382" i="44"/>
  <c r="L380" i="44"/>
  <c r="L379" i="44"/>
  <c r="L367" i="44"/>
  <c r="J366" i="44"/>
  <c r="K359" i="44"/>
  <c r="L359" i="44" s="1"/>
  <c r="K352" i="44"/>
  <c r="L352" i="44" s="1"/>
  <c r="K349" i="44"/>
  <c r="L349" i="44" s="1"/>
  <c r="L347" i="44"/>
  <c r="K343" i="44"/>
  <c r="L343" i="44" s="1"/>
  <c r="K258" i="44"/>
  <c r="L258" i="44" s="1"/>
  <c r="K255" i="44"/>
  <c r="L255" i="44" s="1"/>
  <c r="K339" i="44"/>
  <c r="L339" i="44" s="1"/>
  <c r="L336" i="44"/>
  <c r="L332" i="44"/>
  <c r="L327" i="44"/>
  <c r="L320" i="44"/>
  <c r="L318" i="44"/>
  <c r="L317" i="44"/>
  <c r="L316" i="44"/>
  <c r="L315" i="44"/>
  <c r="L307" i="44"/>
  <c r="L306" i="44"/>
  <c r="L305" i="44"/>
  <c r="L303" i="44"/>
  <c r="L302" i="44"/>
  <c r="J300" i="44"/>
  <c r="L260" i="44"/>
  <c r="J256" i="44"/>
  <c r="J244" i="44"/>
  <c r="K239" i="44"/>
  <c r="L239" i="44" s="1"/>
  <c r="J223" i="44"/>
  <c r="L335" i="44"/>
  <c r="L331" i="44"/>
  <c r="L326" i="44"/>
  <c r="L288" i="44"/>
  <c r="L286" i="44"/>
  <c r="L284" i="44"/>
  <c r="L283" i="44"/>
  <c r="K234" i="44"/>
  <c r="L234" i="44" s="1"/>
  <c r="K230" i="44"/>
  <c r="L230" i="44" s="1"/>
  <c r="K220" i="44"/>
  <c r="L220" i="44" s="1"/>
  <c r="K209" i="44"/>
  <c r="L209" i="44" s="1"/>
  <c r="L338" i="44"/>
  <c r="L334" i="44"/>
  <c r="L329" i="44"/>
  <c r="L325" i="44"/>
  <c r="L309" i="44"/>
  <c r="J262" i="44"/>
  <c r="J251" i="44"/>
  <c r="J247" i="44"/>
  <c r="K243" i="44"/>
  <c r="L243" i="44" s="1"/>
  <c r="K237" i="44"/>
  <c r="L237" i="44" s="1"/>
  <c r="L235" i="44"/>
  <c r="L221" i="44"/>
  <c r="K218" i="44"/>
  <c r="L218" i="44" s="1"/>
  <c r="L337" i="44"/>
  <c r="L333" i="44"/>
  <c r="L328" i="44"/>
  <c r="L324" i="44"/>
  <c r="L259" i="44"/>
  <c r="L248" i="44"/>
  <c r="L245" i="44"/>
  <c r="L238" i="44"/>
  <c r="K219" i="44"/>
  <c r="L219" i="44" s="1"/>
  <c r="K213" i="44"/>
  <c r="L213" i="44" s="1"/>
  <c r="K206" i="44"/>
  <c r="L206" i="44" s="1"/>
  <c r="J214" i="44"/>
  <c r="J216" i="44"/>
  <c r="L212" i="44"/>
  <c r="L207" i="44"/>
  <c r="J73" i="44"/>
  <c r="K73" i="44" s="1"/>
  <c r="L73" i="44" s="1"/>
  <c r="J26" i="44"/>
  <c r="K26" i="44" s="1"/>
  <c r="L26" i="44" s="1"/>
  <c r="J19" i="44"/>
  <c r="J36" i="44"/>
  <c r="K36" i="44" s="1"/>
  <c r="L36" i="44" s="1"/>
  <c r="J28" i="44"/>
  <c r="K28" i="44" s="1"/>
  <c r="L28" i="44" s="1"/>
  <c r="A729" i="43"/>
  <c r="A730" i="43" s="1"/>
  <c r="A732" i="43" s="1"/>
  <c r="A733" i="43" s="1"/>
  <c r="A734" i="43" s="1"/>
  <c r="A735" i="43" s="1"/>
  <c r="A736" i="43" s="1"/>
  <c r="A737" i="43" s="1"/>
  <c r="A738" i="43" s="1"/>
  <c r="A739" i="43" s="1"/>
  <c r="A740" i="43" s="1"/>
  <c r="A741" i="43" s="1"/>
  <c r="A742" i="43" s="1"/>
  <c r="A743" i="43" s="1"/>
  <c r="A744" i="43" s="1"/>
  <c r="A745" i="43" s="1"/>
  <c r="A746" i="43" s="1"/>
  <c r="A747" i="43" s="1"/>
  <c r="A748" i="43" s="1"/>
  <c r="A750" i="43" s="1"/>
  <c r="A752" i="43" s="1"/>
  <c r="A753" i="43" s="1"/>
  <c r="A754" i="43" s="1"/>
  <c r="A755" i="43" s="1"/>
  <c r="A756" i="43" s="1"/>
  <c r="A757" i="43" s="1"/>
  <c r="A758" i="43" s="1"/>
  <c r="A759" i="43" s="1"/>
  <c r="A760" i="43" s="1"/>
  <c r="A761" i="43" s="1"/>
  <c r="A762" i="43" s="1"/>
  <c r="A763" i="43" s="1"/>
  <c r="A764" i="43" s="1"/>
  <c r="A765" i="43" s="1"/>
  <c r="A766" i="43" s="1"/>
  <c r="A767" i="43" s="1"/>
  <c r="A768" i="43" s="1"/>
  <c r="A769" i="43" s="1"/>
  <c r="A770" i="43" s="1"/>
  <c r="A771" i="43" s="1"/>
  <c r="A772" i="43" s="1"/>
  <c r="A773" i="43" s="1"/>
  <c r="A777" i="43" s="1"/>
  <c r="A778" i="43" s="1"/>
  <c r="A779" i="43" s="1"/>
  <c r="A780" i="43" s="1"/>
  <c r="A782" i="43" s="1"/>
  <c r="A783" i="43" s="1"/>
  <c r="A785" i="43" s="1"/>
  <c r="A786" i="43" s="1"/>
  <c r="A787" i="43" s="1"/>
  <c r="A788" i="43" s="1"/>
  <c r="A789" i="43" s="1"/>
  <c r="A790" i="43" s="1"/>
  <c r="A791" i="43" s="1"/>
  <c r="A794" i="43" s="1"/>
  <c r="A795" i="43" s="1"/>
  <c r="A796" i="43" s="1"/>
  <c r="A797" i="43" s="1"/>
  <c r="A799" i="43" s="1"/>
  <c r="A800" i="43" s="1"/>
  <c r="A802" i="43" s="1"/>
  <c r="A803" i="43" s="1"/>
  <c r="A804" i="43" s="1"/>
  <c r="A805" i="43" s="1"/>
  <c r="A806" i="43" s="1"/>
  <c r="A807" i="43" s="1"/>
  <c r="A808" i="43" s="1"/>
  <c r="A811" i="43" s="1"/>
  <c r="A812" i="43" s="1"/>
  <c r="A813" i="43" s="1"/>
  <c r="A814" i="43" s="1"/>
  <c r="A816" i="43" s="1"/>
  <c r="A817" i="43" s="1"/>
  <c r="A819" i="43" s="1"/>
  <c r="A820" i="43" s="1"/>
  <c r="A821" i="43" s="1"/>
  <c r="A822" i="43" s="1"/>
  <c r="A823" i="43" s="1"/>
  <c r="A824" i="43" s="1"/>
  <c r="A825" i="43" s="1"/>
  <c r="A828" i="43" s="1"/>
  <c r="A829" i="43" s="1"/>
  <c r="A830" i="43" s="1"/>
  <c r="A831" i="43" s="1"/>
  <c r="A833" i="43" s="1"/>
  <c r="A834" i="43" s="1"/>
  <c r="A836" i="43" s="1"/>
  <c r="A837" i="43" s="1"/>
  <c r="A838" i="43" s="1"/>
  <c r="A839" i="43" s="1"/>
  <c r="A840" i="43" s="1"/>
  <c r="A841" i="43" s="1"/>
  <c r="A842" i="43" s="1"/>
  <c r="A846" i="43" s="1"/>
  <c r="A847" i="43" s="1"/>
  <c r="A848" i="43" s="1"/>
  <c r="A849" i="43" s="1"/>
  <c r="A850" i="43" s="1"/>
  <c r="A851" i="43" s="1"/>
  <c r="A852" i="43" s="1"/>
  <c r="A853" i="43" s="1"/>
  <c r="A854" i="43" s="1"/>
  <c r="A855" i="43" s="1"/>
  <c r="A856" i="43" s="1"/>
  <c r="A857" i="43" s="1"/>
  <c r="A858" i="43" s="1"/>
  <c r="A859" i="43" s="1"/>
  <c r="A860" i="43" s="1"/>
  <c r="A861" i="43" s="1"/>
  <c r="A862" i="43" s="1"/>
  <c r="A863" i="43" s="1"/>
  <c r="A864" i="43" s="1"/>
  <c r="A865" i="43" s="1"/>
  <c r="A866" i="43" s="1"/>
  <c r="A868" i="43" s="1"/>
  <c r="A869" i="43" s="1"/>
  <c r="A870" i="43" s="1"/>
  <c r="A871" i="43" s="1"/>
  <c r="A872" i="43" s="1"/>
  <c r="A873" i="43" s="1"/>
  <c r="A874" i="43" s="1"/>
  <c r="A875" i="43" s="1"/>
  <c r="A876" i="43" s="1"/>
  <c r="A877" i="43" s="1"/>
  <c r="A878" i="43" s="1"/>
  <c r="A879" i="43" s="1"/>
  <c r="A881" i="43" s="1"/>
  <c r="A882" i="43" s="1"/>
  <c r="A883" i="43" s="1"/>
  <c r="A884" i="43" s="1"/>
  <c r="A885" i="43" s="1"/>
  <c r="A886" i="43" s="1"/>
  <c r="A892" i="43" s="1"/>
  <c r="A893" i="43" s="1"/>
  <c r="A894" i="43" s="1"/>
  <c r="A895" i="43" s="1"/>
  <c r="A896" i="43" s="1"/>
  <c r="A897" i="43" s="1"/>
  <c r="A898" i="43" s="1"/>
  <c r="A899" i="43" s="1"/>
  <c r="A900" i="43" s="1"/>
  <c r="A901" i="43" s="1"/>
  <c r="A902" i="43" s="1"/>
  <c r="A903" i="43" s="1"/>
  <c r="A905" i="43" s="1"/>
  <c r="A906" i="43" s="1"/>
  <c r="A907" i="43" s="1"/>
  <c r="A908" i="43" s="1"/>
  <c r="A909" i="43" s="1"/>
  <c r="A911" i="43" s="1"/>
  <c r="A912" i="43" s="1"/>
  <c r="A914" i="43" s="1"/>
  <c r="A915" i="43" s="1"/>
  <c r="A916" i="43" s="1"/>
  <c r="A917" i="43" s="1"/>
  <c r="A918" i="43" s="1"/>
  <c r="A919" i="43" s="1"/>
  <c r="A920" i="43" s="1"/>
  <c r="A921" i="43" s="1"/>
  <c r="A922" i="43" s="1"/>
  <c r="A923" i="43" s="1"/>
  <c r="A924" i="43" s="1"/>
  <c r="A925" i="43" s="1"/>
  <c r="A926" i="43" s="1"/>
  <c r="A927" i="43" s="1"/>
  <c r="A928" i="43" s="1"/>
  <c r="A929" i="43" s="1"/>
  <c r="A931" i="43" s="1"/>
  <c r="A933" i="43" s="1"/>
  <c r="A934" i="43" s="1"/>
  <c r="A935" i="43" s="1"/>
  <c r="A936" i="43" s="1"/>
  <c r="A937" i="43" s="1"/>
  <c r="A938" i="43" s="1"/>
  <c r="A939" i="43" s="1"/>
  <c r="A940" i="43" s="1"/>
  <c r="A941" i="43" s="1"/>
  <c r="A942" i="43" s="1"/>
  <c r="A943" i="43" s="1"/>
  <c r="A944" i="43" s="1"/>
  <c r="A945" i="43" s="1"/>
  <c r="A946" i="43" s="1"/>
  <c r="A947" i="43" s="1"/>
  <c r="A948" i="43" s="1"/>
  <c r="A949" i="43" s="1"/>
  <c r="A950" i="43" s="1"/>
  <c r="A951" i="43" s="1"/>
  <c r="A952" i="43" s="1"/>
  <c r="A953" i="43" s="1"/>
  <c r="A954" i="43" s="1"/>
  <c r="A727" i="43"/>
  <c r="AB620" i="43"/>
  <c r="M223" i="43"/>
  <c r="N223" i="43" s="1"/>
  <c r="N338" i="43"/>
  <c r="N718" i="43"/>
  <c r="N878" i="43"/>
  <c r="N879" i="43"/>
  <c r="N243" i="43"/>
  <c r="N255" i="43"/>
  <c r="N343" i="43"/>
  <c r="N262" i="43"/>
  <c r="N239" i="43"/>
  <c r="N275" i="43"/>
  <c r="N460" i="43"/>
  <c r="N248" i="43"/>
  <c r="N635" i="43"/>
  <c r="N499" i="43"/>
  <c r="N483" i="43"/>
  <c r="N714" i="43"/>
  <c r="N752" i="43"/>
  <c r="N533" i="43"/>
  <c r="N332" i="43"/>
  <c r="AD339" i="43" s="1"/>
  <c r="N392" i="43"/>
  <c r="M865" i="43"/>
  <c r="N865" i="43" s="1"/>
  <c r="M424" i="43"/>
  <c r="N424" i="43" s="1"/>
  <c r="Y422" i="43" s="1"/>
  <c r="N489" i="43"/>
  <c r="M489" i="43"/>
  <c r="N268" i="43"/>
  <c r="N531" i="43"/>
  <c r="N213" i="43"/>
  <c r="N534" i="43"/>
  <c r="N222" i="43"/>
  <c r="N312" i="43"/>
  <c r="N313" i="43"/>
  <c r="N662" i="43"/>
  <c r="N730" i="43"/>
  <c r="N873" i="43"/>
  <c r="N506" i="43"/>
  <c r="N216" i="43"/>
  <c r="N648" i="43"/>
  <c r="N425" i="43"/>
  <c r="N279" i="43"/>
  <c r="N277" i="43"/>
  <c r="N401" i="43"/>
  <c r="N399" i="43"/>
  <c r="N440" i="43"/>
  <c r="N329" i="43"/>
  <c r="N528" i="43"/>
  <c r="N393" i="43"/>
  <c r="M436" i="43"/>
  <c r="N436" i="43" s="1"/>
  <c r="Y434" i="43" s="1"/>
  <c r="M502" i="43"/>
  <c r="N502" i="43" s="1"/>
  <c r="N514" i="43"/>
  <c r="M684" i="43"/>
  <c r="N684" i="43"/>
  <c r="M317" i="43"/>
  <c r="N317" i="43" s="1"/>
  <c r="Y315" i="43" s="1"/>
  <c r="M532" i="43"/>
  <c r="N532" i="43"/>
  <c r="M695" i="43"/>
  <c r="N695" i="43"/>
  <c r="Y689" i="43" s="1"/>
  <c r="L556" i="43"/>
  <c r="L565" i="43"/>
  <c r="L639" i="43"/>
  <c r="N848" i="43"/>
  <c r="N852" i="43"/>
  <c r="N768" i="43"/>
  <c r="M768" i="43"/>
  <c r="M469" i="43"/>
  <c r="N469" i="43" s="1"/>
  <c r="Y468" i="43" s="1"/>
  <c r="N374" i="43"/>
  <c r="N738" i="43"/>
  <c r="N521" i="43"/>
  <c r="N368" i="43"/>
  <c r="N441" i="43"/>
  <c r="N632" i="43"/>
  <c r="N319" i="43"/>
  <c r="N802" i="43"/>
  <c r="N645" i="43"/>
  <c r="N540" i="43"/>
  <c r="AB544" i="43" s="1"/>
  <c r="N456" i="43"/>
  <c r="N311" i="43"/>
  <c r="AD229" i="43" s="1"/>
  <c r="AD230" i="43" s="1"/>
  <c r="N558" i="43"/>
  <c r="M415" i="43"/>
  <c r="N415" i="43" s="1"/>
  <c r="N566" i="43"/>
  <c r="M566" i="43"/>
  <c r="N860" i="43"/>
  <c r="M860" i="43"/>
  <c r="M591" i="43"/>
  <c r="N591" i="43" s="1"/>
  <c r="M767" i="43"/>
  <c r="N767" i="43" s="1"/>
  <c r="M803" i="43"/>
  <c r="N803" i="43"/>
  <c r="N282" i="43"/>
  <c r="Y281" i="43" s="1"/>
  <c r="N942" i="43"/>
  <c r="M942" i="43"/>
  <c r="N761" i="43"/>
  <c r="Y760" i="43" s="1"/>
  <c r="N725" i="43"/>
  <c r="L62" i="43"/>
  <c r="M62" i="43" s="1"/>
  <c r="N62" i="43" s="1"/>
  <c r="N304" i="43"/>
  <c r="Y303" i="43" s="1"/>
  <c r="L373" i="43"/>
  <c r="N419" i="43"/>
  <c r="N466" i="43"/>
  <c r="Y463" i="43" s="1"/>
  <c r="N549" i="43"/>
  <c r="L607" i="43"/>
  <c r="L636" i="43"/>
  <c r="L788" i="43"/>
  <c r="L172" i="43"/>
  <c r="M172" i="43" s="1"/>
  <c r="N172" i="43" s="1"/>
  <c r="N582" i="43"/>
  <c r="L763" i="43"/>
  <c r="N800" i="43"/>
  <c r="Y798" i="43" s="1"/>
  <c r="L953" i="43"/>
  <c r="L389" i="43"/>
  <c r="L18" i="43"/>
  <c r="N681" i="43"/>
  <c r="M761" i="43"/>
  <c r="N770" i="43"/>
  <c r="L452" i="43"/>
  <c r="R370" i="44"/>
  <c r="C369" i="44" s="1"/>
  <c r="E369" i="44" s="1"/>
  <c r="J369" i="44" s="1"/>
  <c r="O709" i="43"/>
  <c r="S709" i="43" s="1"/>
  <c r="Q710" i="43"/>
  <c r="P708" i="43" s="1"/>
  <c r="S708" i="43" s="1"/>
  <c r="S707" i="43" s="1"/>
  <c r="P547" i="43"/>
  <c r="R548" i="43"/>
  <c r="R222" i="44"/>
  <c r="C222" i="44" s="1"/>
  <c r="E222" i="44" s="1"/>
  <c r="J222" i="44" s="1"/>
  <c r="R547" i="43"/>
  <c r="O547" i="43" s="1"/>
  <c r="O389" i="43"/>
  <c r="R342" i="43"/>
  <c r="P340" i="43" s="1"/>
  <c r="T340" i="43" s="1"/>
  <c r="O341" i="43"/>
  <c r="Q9" i="44" l="1"/>
  <c r="Q10" i="44" s="1"/>
  <c r="Q11" i="44" s="1"/>
  <c r="S11" i="44" s="1"/>
  <c r="L233" i="44"/>
  <c r="L311" i="44"/>
  <c r="L405" i="44"/>
  <c r="L282" i="44"/>
  <c r="M280" i="44" s="1"/>
  <c r="L287" i="44"/>
  <c r="L402" i="44"/>
  <c r="L363" i="44"/>
  <c r="L229" i="44"/>
  <c r="L384" i="44"/>
  <c r="L508" i="44"/>
  <c r="L594" i="44"/>
  <c r="L231" i="44"/>
  <c r="L310" i="44"/>
  <c r="L250" i="44"/>
  <c r="L261" i="44"/>
  <c r="L314" i="44"/>
  <c r="L362" i="44"/>
  <c r="L387" i="44"/>
  <c r="L215" i="44"/>
  <c r="L254" i="44"/>
  <c r="L285" i="44"/>
  <c r="L289" i="44"/>
  <c r="L257" i="44"/>
  <c r="L321" i="44"/>
  <c r="L381" i="44"/>
  <c r="L436" i="44"/>
  <c r="L389" i="44"/>
  <c r="L483" i="44"/>
  <c r="L489" i="44"/>
  <c r="L440" i="44"/>
  <c r="L591" i="44"/>
  <c r="L608" i="44"/>
  <c r="L585" i="44"/>
  <c r="R210" i="44"/>
  <c r="K365" i="44"/>
  <c r="L365" i="44" s="1"/>
  <c r="P573" i="44"/>
  <c r="K369" i="44"/>
  <c r="L369" i="44" s="1"/>
  <c r="K214" i="44"/>
  <c r="L214" i="44" s="1"/>
  <c r="K251" i="44"/>
  <c r="L251" i="44" s="1"/>
  <c r="K366" i="44"/>
  <c r="L366" i="44" s="1"/>
  <c r="K386" i="44"/>
  <c r="L386" i="44" s="1"/>
  <c r="J580" i="44"/>
  <c r="K406" i="44"/>
  <c r="L406" i="44" s="1"/>
  <c r="K435" i="44"/>
  <c r="L435" i="44" s="1"/>
  <c r="M433" i="44" s="1"/>
  <c r="K503" i="44"/>
  <c r="L503" i="44" s="1"/>
  <c r="K364" i="44"/>
  <c r="L364" i="44" s="1"/>
  <c r="K593" i="44"/>
  <c r="L593" i="44" s="1"/>
  <c r="K589" i="44"/>
  <c r="L589" i="44" s="1"/>
  <c r="K578" i="44"/>
  <c r="L578" i="44" s="1"/>
  <c r="P580" i="44" s="1"/>
  <c r="K262" i="44"/>
  <c r="L262" i="44" s="1"/>
  <c r="K223" i="44"/>
  <c r="L223" i="44" s="1"/>
  <c r="K395" i="44"/>
  <c r="L395" i="44" s="1"/>
  <c r="K501" i="44"/>
  <c r="L501" i="44" s="1"/>
  <c r="K222" i="44"/>
  <c r="L222" i="44" s="1"/>
  <c r="K19" i="44"/>
  <c r="L19" i="44" s="1"/>
  <c r="J225" i="44"/>
  <c r="K216" i="44"/>
  <c r="L216" i="44" s="1"/>
  <c r="K247" i="44"/>
  <c r="L247" i="44" s="1"/>
  <c r="K244" i="44"/>
  <c r="L244" i="44" s="1"/>
  <c r="J375" i="44"/>
  <c r="K256" i="44"/>
  <c r="L256" i="44" s="1"/>
  <c r="K300" i="44"/>
  <c r="L300" i="44" s="1"/>
  <c r="K457" i="44"/>
  <c r="L457" i="44" s="1"/>
  <c r="K372" i="44"/>
  <c r="L372" i="44" s="1"/>
  <c r="AB229" i="43"/>
  <c r="AB230" i="43" s="1"/>
  <c r="M389" i="43"/>
  <c r="N389" i="43"/>
  <c r="Y388" i="43" s="1"/>
  <c r="M373" i="43"/>
  <c r="N373" i="43" s="1"/>
  <c r="Y340" i="43" s="1"/>
  <c r="L544" i="43"/>
  <c r="M25" i="44"/>
  <c r="L956" i="43"/>
  <c r="M953" i="43"/>
  <c r="N953" i="43"/>
  <c r="Y801" i="43"/>
  <c r="M556" i="43"/>
  <c r="N556" i="43"/>
  <c r="Y552" i="43" s="1"/>
  <c r="L626" i="43"/>
  <c r="Y324" i="43"/>
  <c r="AB882" i="43"/>
  <c r="Y274" i="43"/>
  <c r="Y668" i="43"/>
  <c r="M788" i="43"/>
  <c r="N788" i="43" s="1"/>
  <c r="Z784" i="43" s="1"/>
  <c r="Y932" i="43"/>
  <c r="Y941" i="43"/>
  <c r="Y454" i="43"/>
  <c r="Y843" i="43"/>
  <c r="AB870" i="43"/>
  <c r="Y437" i="43"/>
  <c r="Y306" i="43"/>
  <c r="R228" i="44"/>
  <c r="R229" i="44" s="1"/>
  <c r="M452" i="43"/>
  <c r="N452" i="43"/>
  <c r="Y451" i="43" s="1"/>
  <c r="M18" i="43"/>
  <c r="N18" i="43" s="1"/>
  <c r="L226" i="43"/>
  <c r="L888" i="43"/>
  <c r="M763" i="43"/>
  <c r="N763" i="43" s="1"/>
  <c r="Y751" i="43" s="1"/>
  <c r="M636" i="43"/>
  <c r="N636" i="43" s="1"/>
  <c r="Z629" i="43" s="1"/>
  <c r="L704" i="43"/>
  <c r="AD341" i="43"/>
  <c r="AD342" i="43" s="1"/>
  <c r="Y417" i="43"/>
  <c r="M639" i="43"/>
  <c r="N639" i="43" s="1"/>
  <c r="AB631" i="43" s="1"/>
  <c r="Z707" i="43"/>
  <c r="M607" i="43"/>
  <c r="N607" i="43" s="1"/>
  <c r="Y590" i="43" s="1"/>
  <c r="M565" i="43"/>
  <c r="N565" i="43"/>
  <c r="AB537" i="43"/>
  <c r="AB525" i="43"/>
  <c r="Y479" i="43"/>
  <c r="L579" i="44" l="1"/>
  <c r="M579" i="44" s="1"/>
  <c r="L374" i="44"/>
  <c r="M374" i="44" s="1"/>
  <c r="R376" i="44"/>
  <c r="K375" i="44"/>
  <c r="L375" i="44" s="1"/>
  <c r="K225" i="44"/>
  <c r="L225" i="44" s="1"/>
  <c r="L224" i="44"/>
  <c r="M224" i="44" s="1"/>
  <c r="K580" i="44"/>
  <c r="L580" i="44" s="1"/>
  <c r="M242" i="44"/>
  <c r="P228" i="44"/>
  <c r="P229" i="44" s="1"/>
  <c r="P561" i="44"/>
  <c r="R378" i="44"/>
  <c r="R379" i="44" s="1"/>
  <c r="M888" i="43"/>
  <c r="N888" i="43" s="1"/>
  <c r="M704" i="43"/>
  <c r="N704" i="43" s="1"/>
  <c r="L957" i="43"/>
  <c r="M226" i="43"/>
  <c r="N226" i="43"/>
  <c r="M956" i="43"/>
  <c r="N956" i="43" s="1"/>
  <c r="M626" i="43"/>
  <c r="N626" i="43" s="1"/>
  <c r="Z546" i="43"/>
  <c r="M392" i="44"/>
  <c r="M544" i="43"/>
  <c r="N544" i="43"/>
  <c r="N612" i="44" l="1"/>
  <c r="Y958" i="43"/>
  <c r="M959" i="43"/>
  <c r="M957" i="43"/>
  <c r="N957" i="43" s="1"/>
  <c r="Z962" i="43" s="1"/>
</calcChain>
</file>

<file path=xl/sharedStrings.xml><?xml version="1.0" encoding="utf-8"?>
<sst xmlns="http://schemas.openxmlformats.org/spreadsheetml/2006/main" count="3830" uniqueCount="546">
  <si>
    <t>ямочный</t>
  </si>
  <si>
    <t>Приготовление пескосоляной смеси бульдозерами (20% хлоридов)</t>
  </si>
  <si>
    <t>Приготовление пескосоляной смеси бульдозерами (20 % хлоридов)</t>
  </si>
  <si>
    <r>
      <t>тыс м</t>
    </r>
    <r>
      <rPr>
        <sz val="10"/>
        <rFont val="Calibri"/>
        <family val="2"/>
        <charset val="204"/>
      </rPr>
      <t>²</t>
    </r>
  </si>
  <si>
    <r>
      <t xml:space="preserve">тыс </t>
    </r>
    <r>
      <rPr>
        <sz val="10"/>
        <rFont val="Calibri"/>
        <family val="2"/>
        <charset val="204"/>
      </rPr>
      <t>м²</t>
    </r>
  </si>
  <si>
    <t>Приложение  к НМЦК</t>
  </si>
  <si>
    <t>7. Содержание пешеходных переходов</t>
  </si>
  <si>
    <t>7.1. Содержание пешеходного перехода на автомобильной дороге Подъезд к Дубровное (с.Дубровное)</t>
  </si>
  <si>
    <t>7.2. Содержание пешеходного перехода на автомобильной дороге  Варгаши-Дубровное-Строево-Дундино (с. Варгаши)</t>
  </si>
  <si>
    <t>7.3.  Содержание пешеходного перехода на автомобильной дороге Строево-Спорное (с. Строево)</t>
  </si>
  <si>
    <t>7.4. Содержание пешеходного перехода на автомобильной дороге Строево-Спорное  (с. Спорное)</t>
  </si>
  <si>
    <t>7.5. Содержание пешеходного перехода на автомобильной дороге Варгаши-Дубровное-Строево-Дундино  (с. Дундино)</t>
  </si>
  <si>
    <t xml:space="preserve"> Зимнее содержание </t>
  </si>
  <si>
    <t>7.6.Содержание пешеходного перехода автомобильной дороге  Урал-Шастово-Шмаково  (с. Шастово)</t>
  </si>
  <si>
    <t>7.7.Содержание пешеходного перехода автомобильной дороге Подъезд к Попово      (с. Попово)</t>
  </si>
  <si>
    <t>8.1. Подъезд к Варгашам км 0+000 - км 1 + 277</t>
  </si>
  <si>
    <t>8.2. Разметка пешеходных переходов (с. Варгаши, с. Дубровное, с. Строево, с. Спорное, с. Дундино, с. Попово,                     с. Шастово)</t>
  </si>
  <si>
    <t>7.1.  Содержание пешеходного перехода на  автомобильной дороге  Подъезд к Налимово (с. Налимово)</t>
  </si>
  <si>
    <t>7.2.   Содержание пешеходного перехода автомобильной дороге   Подъезд к Новощетниково, км 1     (с. Арлагуль)</t>
  </si>
  <si>
    <t>8.Разметка пешеходных переходов (с. Налимово, с. Арлагуль)</t>
  </si>
  <si>
    <t>6.  Дополнительные работы - тротуары на подходе к путепроводу г. Макушино  (летнее содержание)</t>
  </si>
  <si>
    <t>7. Зимнее содержание автомобильных дорог</t>
  </si>
  <si>
    <t>8. Дополнительные работы - тротуары на подходе к путепроводу г. Макушино  (зимнее содержание)</t>
  </si>
  <si>
    <t>9. Содержание электроосвещения на автомобильных дорогах</t>
  </si>
  <si>
    <t>9.1. Электроосвещение (автомобильная дорога Макушино - Сетовное - Клюквенное - Неверовское - граница Казахстана на участке "Бородинка - Неверовское" 9 светильников</t>
  </si>
  <si>
    <t>9.2.  Электроосвещение автомобильной дороге Подъезд к  Макушино (путепровод через Транссибирскую магистраль) 29 светильников</t>
  </si>
  <si>
    <t>10. Содержание пешеходных переходов на автомобильных дорогах</t>
  </si>
  <si>
    <t>10.1.  Содержание пешеходного перехода на автомобильной дороге  Казаркино-Антипино-Кошелево, км 2  (с. Казаркино)</t>
  </si>
  <si>
    <t>10.2. Содержание пешеходного перехода автомобильной дороге  "Макушино-Сетовное-Клюквенное-Неверовское-до границы Казахстана" - Золотое-Малое Кривинское, км 22  (с. Золотое)</t>
  </si>
  <si>
    <t>10.3.Содержание пешеходного перехода а/д Клюквенное-Лопатки, км 1   (с. Клюквенное)</t>
  </si>
  <si>
    <t>11. Разметка автомобильных дорог</t>
  </si>
  <si>
    <t>11.1. Подъезд к Макушино км 0+000  -км 3 + 430</t>
  </si>
  <si>
    <t>11.2. Разметка пешеходных переходов (с. Казаркино, с. Золотое, с. Клюквенное)</t>
  </si>
  <si>
    <t>11.3. Разметка железнодорожного переезда (автомобильная дорога "Иртыш" - Коновалово - Привольное)</t>
  </si>
  <si>
    <t>7. Электроосвещение (автомобильная дорога Мокроусово-Пороги)</t>
  </si>
  <si>
    <t>8. Разметка пешеходного перехода (с. Мокроусово)</t>
  </si>
  <si>
    <t>7.1 Подъезд к Петухово км 0 + 000 - км 1 + 520</t>
  </si>
  <si>
    <t>7.1. Содержание пешеходного перехода на автомобильной дороге  Подъезд к Воскресенское, км 2 (с. Воскресенское)</t>
  </si>
  <si>
    <t>7.2. Содержание пешеходного перехода  на автомобильной дороге  Подъезд к Байдары, км 3 (с. Байдары)</t>
  </si>
  <si>
    <t>7.3. Содержание пешеходного перехода на автомобильной дороги Башкирское-Пищальное-Романово, км 10                          (с. Пищальное)</t>
  </si>
  <si>
    <t xml:space="preserve">7.4. Содержание пешеходного перехода на автомобильной дороге  Подъезд к Марай          </t>
  </si>
  <si>
    <t xml:space="preserve">8.1 Курган - Половинное - Воскресенское - граница Казахстана </t>
  </si>
  <si>
    <t>км 88 + 810  - км 90 + 500</t>
  </si>
  <si>
    <t>8.2. Разметка пешеходных переходов (с. Воскресенское, с. Байдары, с. Пищальное, с. Марай)</t>
  </si>
  <si>
    <t>8.3. Разметка железнодорожного переезда (автомобильная дорога ст. Сумки - Золотое)</t>
  </si>
  <si>
    <t>Сметный расчет № 1  на выполнение работ по содержанию автомобильных дорог  в Восточной зоне Курганской области на 2022 год</t>
  </si>
  <si>
    <t xml:space="preserve">Базовая ценга за единицу измерения  с индексом дефлятором на 2022 год </t>
  </si>
  <si>
    <t>Приложение к НМЦК</t>
  </si>
  <si>
    <t>8.1. Лебяжье-Лопатки-Клюквенное км 3+405-км 4+375</t>
  </si>
  <si>
    <t>8.2.  Лебяжье-Мокроусово-Щигры  км 2+000 - км 35+067</t>
  </si>
  <si>
    <t>8.3  Разметка пешеходных переходов (с. Налимово, с. Арлагуль)</t>
  </si>
  <si>
    <t>6. Дополнительные работы - тротуары на подходе к путепроводу г. Макушино  (летнее содержание)</t>
  </si>
  <si>
    <t>7.1  Дополнительные работы - тротуары на подходе к путепроводу г. Макушино  (зимнее содержание)</t>
  </si>
  <si>
    <t>8. Содержание электроосвещения на автомобильных дорогах</t>
  </si>
  <si>
    <t>8.1. Электроосвещение (а/д Макушино - Сетовное - Клюквенное - Неверовское - граница Казахстана на участке "Бородинка - Неверовское" 9 светильников</t>
  </si>
  <si>
    <t>8.2.  Электроосвещение а/д Подъезд к  Макушино (путепровод через Транссибирскую магистраль) 29 светильников</t>
  </si>
  <si>
    <t>9. Содержание пешеходных переходов на автомобильных дорогах</t>
  </si>
  <si>
    <t>9.1.  Содержание пешеходного перехода на автомобильной дороге  Казаркино-Антипино-Кошелево, км 2  (с. Казаркино)</t>
  </si>
  <si>
    <t>9.2. Содержание пешеходного перехода автомобильной дороге  "Макушино-Сетовное-Клюквенное-Неверовское-до границы Казахстана" - Золотое-Малое Кривинское, км 22  (с. Золотое)</t>
  </si>
  <si>
    <t>9.3.Содержание пешеходного перехода а/д Клюквенное-Лопатки, км 1   (с. Клюквенное)</t>
  </si>
  <si>
    <t>10. Разметка автомобильных дорог</t>
  </si>
  <si>
    <t>10.1. Подъезд к Макушино км 0+000  -км 3 + 430</t>
  </si>
  <si>
    <t>10.2. Разметка пешеходных переходов (с. Казаркино, с. Золотое, с. Клюквенное)</t>
  </si>
  <si>
    <t>10.3. Разметка железнодорожного переезда (автомобильная дорога "Иртыш" - Коновалово - Привольное)</t>
  </si>
  <si>
    <t>Скашивание травы вручную вокруг стоек дорожных знаков, опор освещения и вдоль барьерного ограждения</t>
  </si>
  <si>
    <r>
      <t xml:space="preserve">Разметка проезжей части краской сплошной линией шириной: 0,1 м (1.2)
</t>
    </r>
    <r>
      <rPr>
        <i/>
        <sz val="10"/>
        <rFont val="Arial"/>
        <family val="2"/>
        <charset val="204"/>
      </rPr>
      <t>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</si>
  <si>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r>
      <t>Разметка проезжей части краской сплошной линией шириной: 0,1 м (1.2)
(км)</t>
    </r>
    <r>
      <rPr>
        <i/>
        <sz val="10"/>
        <rFont val="Arial"/>
        <family val="2"/>
        <charset val="204"/>
      </rPr>
      <t xml:space="preserve">
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</si>
  <si>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r>
      <t>Разметка проезжей части краской прерывистой линией шириной 0,1 м при соотношении штриха и промежутка: 1:3 (1.5)</t>
    </r>
    <r>
      <rPr>
        <i/>
        <sz val="10"/>
        <rFont val="Arial"/>
        <family val="2"/>
        <charset val="204"/>
      </rPr>
      <t xml:space="preserve">
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</si>
  <si>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r>
      <t>Разметка проезжей части краской сплошной линией шириной: 0,1 м (1.11)
(км)</t>
    </r>
    <r>
      <rPr>
        <i/>
        <sz val="10"/>
        <rFont val="Arial"/>
        <family val="2"/>
        <charset val="204"/>
      </rPr>
      <t xml:space="preserve">
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</si>
  <si>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r>
      <t>Разметка проезжей части краской сплошной линией шириной: 0,6 м (1.13)
(км)</t>
    </r>
    <r>
      <rPr>
        <i/>
        <sz val="10"/>
        <rFont val="Arial"/>
        <family val="2"/>
        <charset val="204"/>
      </rPr>
      <t xml:space="preserve">
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</si>
  <si>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r>
      <t>Разметка проезжей части краской сплошной линией шириной: 0,4 м (1.14.1)</t>
    </r>
    <r>
      <rPr>
        <i/>
        <sz val="10"/>
        <rFont val="Arial"/>
        <family val="2"/>
        <charset val="204"/>
      </rPr>
      <t xml:space="preserve">
(ПЗ=2 (ОЗП=2; ЭМ=2 к расх.; ЗПМ=2; МАТ=2 к расх.; ТЗ=2; ТЗМ=2))</t>
    </r>
  </si>
  <si>
    <r>
      <t xml:space="preserve">Разметка проезжей части краской сплошной линией шириной: 0,1 м (1.17)
</t>
    </r>
    <r>
      <rPr>
        <i/>
        <sz val="10"/>
        <rFont val="Arial"/>
        <family val="2"/>
        <charset val="204"/>
      </rPr>
      <t>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</si>
  <si>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r>
      <t>Нанесение линии горизонтальной дорожной разметки краской со световозвращающими элементами на дорожное покрытие (асфальт, поверхностная обработка) (1.19)
(100 м2)</t>
    </r>
    <r>
      <rPr>
        <i/>
        <sz val="10"/>
        <rFont val="Arial"/>
        <family val="2"/>
        <charset val="204"/>
      </rPr>
      <t xml:space="preserve">
218.40 = 227.16 - 0.02 x 437.82</t>
    </r>
  </si>
  <si>
    <t xml:space="preserve">электричество </t>
  </si>
  <si>
    <t>пешеходники</t>
  </si>
  <si>
    <t>разметка</t>
  </si>
  <si>
    <t>Планировка обочин механизированным способом (грунтовые обочины)</t>
  </si>
  <si>
    <t>100 м2</t>
  </si>
  <si>
    <t>Скашивание травы косилкой на базе трактора на пневмоколесном ходу, ширина окашивания до 2 м (прочие дороги с твердым покрытием)</t>
  </si>
  <si>
    <t>Скашивание травы косилкой на базе трактора на пневмоколесном ходу, ширина окашивания до 2 м (грунтовые дороги)</t>
  </si>
  <si>
    <t>Скашивание травы вручную на откосах</t>
  </si>
  <si>
    <t>2. Содержание покрытия</t>
  </si>
  <si>
    <t>Заделка трещин в асфальтобетонном покрытии вручную</t>
  </si>
  <si>
    <t>3. Содержание искусственных сооружений</t>
  </si>
  <si>
    <t>Очистка отверстий труб от грязи и наносов</t>
  </si>
  <si>
    <t>Заделка трещин, раковин и сколов оголовков труб</t>
  </si>
  <si>
    <t>4. Содержание средств обстановки и благоустройства</t>
  </si>
  <si>
    <t>Окраска стоек дорожных знаков</t>
  </si>
  <si>
    <t>5. Озеленение</t>
  </si>
  <si>
    <t>Замена ламп в светильниках на опорах дорожного освещения: 1 лампа</t>
  </si>
  <si>
    <t>Плата за расход электроэнергии на освещение</t>
  </si>
  <si>
    <t>кВтч</t>
  </si>
  <si>
    <t>Очистка и уборка снежных валов с обочин (бульдозером)</t>
  </si>
  <si>
    <t>Уборка снежных валов с обочин (автогрейдером)</t>
  </si>
  <si>
    <t>Установка указательных вех в грунт</t>
  </si>
  <si>
    <t>Устройство траншей в снегу бульдозером</t>
  </si>
  <si>
    <t>№ п/п</t>
  </si>
  <si>
    <t>Наименование работ</t>
  </si>
  <si>
    <t>Обоснование</t>
  </si>
  <si>
    <t>Единица измерения</t>
  </si>
  <si>
    <t>Объем работ за 1 цикл</t>
  </si>
  <si>
    <t>Цикличность выполнения работ</t>
  </si>
  <si>
    <t>Объем работ всего</t>
  </si>
  <si>
    <t>Устранение деформаций и повреждений дорожной одежды БЦМ</t>
  </si>
  <si>
    <t>Окраска автопавильонов вручную</t>
  </si>
  <si>
    <t>Ликвидация съездов с автомобильных дорог (въездов на автомобильные дороги) в неустановленных местах: бульдозером 108 л.с</t>
  </si>
  <si>
    <t>Уборка различных предметов и мусора с элементов автомобильной дороги</t>
  </si>
  <si>
    <t>Ямочный ремонт асфальтобетонных покрытий укатываемой асфальтобетонной смесью с разломкой старого покрытия: толщина слоя до 50 мм, площадь ремонта в одном месте до 1 м2</t>
  </si>
  <si>
    <t>Устранение деформаций и повреждений дорожной одежды с разломкой старого покрытия - асфальтобетон (устранение повреждений при толщине асфальта до 70 мм и  площади ремонта в одном месте до 3 м2)</t>
  </si>
  <si>
    <t>Восстановление поперечного профиля проезжей части автомобильных дорог с гравийным покрытием без добавления нового материала</t>
  </si>
  <si>
    <t>Восстановление поперечного профиля проезжей части автомобильных грунтовых дорог (профилировка)</t>
  </si>
  <si>
    <t>Замена дорожных знаков: предупреждающие, запрещающие</t>
  </si>
  <si>
    <t>Установка недостающих сигнальных столбиков (пластиковых)</t>
  </si>
  <si>
    <t>Очистка обочин от снега средними автогрейдерами: снег рыхлый (дороги с асфальтобетонным покрытием)</t>
  </si>
  <si>
    <t>Регулярная очистка от снега и льда, обработка гололедными материалами автобусных остановок, павильонов, площадок отдыха</t>
  </si>
  <si>
    <t>Приготовление пескосоляной смеси бульдозерами (10% хлоридов)</t>
  </si>
  <si>
    <t xml:space="preserve">Скашивание травы вручную </t>
  </si>
  <si>
    <t>Очистка тротуаров: вручную</t>
  </si>
  <si>
    <t>100 м²</t>
  </si>
  <si>
    <t>Очистка тротуаров</t>
  </si>
  <si>
    <t>Очистка перильного ограждения от снега и грязи вручную (применительно)</t>
  </si>
  <si>
    <t xml:space="preserve"> Месячное обслуживание светофорных объектов</t>
  </si>
  <si>
    <t>Техническое обслуживание контроллера типа ДКМ</t>
  </si>
  <si>
    <t xml:space="preserve"> Техническое обслуживание электрооборудования светофорного объекта</t>
  </si>
  <si>
    <t>Плата за э/энергию (освещение и светофорный объект)</t>
  </si>
  <si>
    <t>Устранение деформаций и повреждений дорожной одежды струйно-инъекционным методом с применением БЦМ</t>
  </si>
  <si>
    <t>ЭСНиЕРс 01-04-005-1 (2012 г.)</t>
  </si>
  <si>
    <t>ЭСНиЕРс 01-05-007-2 (2012 г.)</t>
  </si>
  <si>
    <t>ЭСНиЕРс 01-05-005-1 (2012 г.)</t>
  </si>
  <si>
    <t>ЭСНиЕРс 01-05-029-1 (2012 г.)</t>
  </si>
  <si>
    <t>ЭСНиЕРс 01-05-015-4 (2012 г.)</t>
  </si>
  <si>
    <t>ЭСНиЕРс 01-05-007-1 (2012 г.)</t>
  </si>
  <si>
    <t>ЭСНиЕРс 01-05-022-1 (2012 г.)</t>
  </si>
  <si>
    <t>ЭСНиЕРс 01-05-010-1 (2012 г.)</t>
  </si>
  <si>
    <t>ЭСНиЕРс 01-04-021-2 (2012 г.)</t>
  </si>
  <si>
    <t>ЭСНиЕРс 01-04-027-1 (2012 г.)</t>
  </si>
  <si>
    <t>Стоимость выполнения работ (в т.ч. СП 15% и НР 20%), руб.</t>
  </si>
  <si>
    <t>Окраска сигнальных столбиков</t>
  </si>
  <si>
    <t>ЭСНиЕРс  01-04-003-2 (2012 г.)</t>
  </si>
  <si>
    <t>ЭСНиЕРс  01-04-027-1 (2012 г.)</t>
  </si>
  <si>
    <t xml:space="preserve">Замена стоек дорожных знаков </t>
  </si>
  <si>
    <t>6. Зимнее содержание автомобильных дорог</t>
  </si>
  <si>
    <t>Очистка перильного ограждения от снега и грязи вручную</t>
  </si>
  <si>
    <t xml:space="preserve">Летнее содержание автомобильных дорог  </t>
  </si>
  <si>
    <t xml:space="preserve"> Замена ламп в светильниках на опорах дорожного освещения (1 лампа)</t>
  </si>
  <si>
    <t>Варгашинский район</t>
  </si>
  <si>
    <t xml:space="preserve"> Летнее содержание автомобильных дорог</t>
  </si>
  <si>
    <t>1. Содержание земляного полотна и водоотвода</t>
  </si>
  <si>
    <t>ЭСНиЕРс 01-01-004-1 (2012г.)</t>
  </si>
  <si>
    <t>Скашивание травы косилкой на базе трактора на пневмоколесном ходу, ширина окашивания до 2 м (Варгаши-Мостовское-Крутихинское; Подъезд к Варгаши; "Иртыш" - Колташево-Кривина)</t>
  </si>
  <si>
    <t>ЭСНиЕРс 01-01-011-1 (2012г.)</t>
  </si>
  <si>
    <t>ЭСНиЕРс 01-01-012 -1 (2012г.)</t>
  </si>
  <si>
    <t>ЭСНиЕРс 01-01-012 -2 (2012г.)</t>
  </si>
  <si>
    <t>ЭСНиЕРс 01-01-018-2 (2012г.)</t>
  </si>
  <si>
    <t>ЭСНиЕРс 01-02-002-1 (2012г.)</t>
  </si>
  <si>
    <t>ЭСНиЕРс 01-02-005-1 (2012г.)</t>
  </si>
  <si>
    <t>ЭСНиЕРс 01-02-005-2 (2012г.)</t>
  </si>
  <si>
    <t>ЭСНиЕРс 01-02-007-4 (2012г.) применительно</t>
  </si>
  <si>
    <t xml:space="preserve"> ЭСНиЕРс 01-02-009-1 (2012г.)</t>
  </si>
  <si>
    <t>ЭСНиЕРс 01-02-017-1 (2012г.)</t>
  </si>
  <si>
    <t xml:space="preserve"> ЭСНиЕРс 01-02-017-3 (2012г.)</t>
  </si>
  <si>
    <t>ЭСНиЕРс 01-03-002-1 (2012г.)</t>
  </si>
  <si>
    <t xml:space="preserve"> ЭСНиЕРс 01-03-004-1 (2012г.)</t>
  </si>
  <si>
    <t>ЭСНиЕРс 01-04-003-1 (2012г.)</t>
  </si>
  <si>
    <t>ЭСНиЕРс  01-04-004-1 (2012г.)</t>
  </si>
  <si>
    <t>Замена дорожных знаков на стойках: предупреждающие, запрещающие</t>
  </si>
  <si>
    <t>ЭСНиЕРс 01-04-004-1 (2012г.)</t>
  </si>
  <si>
    <t>ЭСНиЕРс 01-04-005-1 (2012г.)</t>
  </si>
  <si>
    <t xml:space="preserve"> ЭСНиЕРс 01-04-007-4 (2012г.)</t>
  </si>
  <si>
    <t>ЭСНиЕРс 01-04-018-1 (2012г.)</t>
  </si>
  <si>
    <t>ЭСНиЕРс 01-07-004-1 (2012г.)</t>
  </si>
  <si>
    <t>уход за посадками, обрезка веток для обеспечения видимости, уборка сухостоя (кустарник)</t>
  </si>
  <si>
    <t>ЭСНиЕРс 01-05-003-2 (2012г.)</t>
  </si>
  <si>
    <t>Очистка обочин от снега комбинированными дорожными машинами: (один проход) (Варгаши-Мостовское-Крутихинское; Подъезд к Варгаши; "Иртыш"-Колташево-Кривина)</t>
  </si>
  <si>
    <t>ЭСНиЕРс 01-05-007-2 (2012г.)</t>
  </si>
  <si>
    <t>ЭСНиЕРс 01-05-005-1 (2012г.)</t>
  </si>
  <si>
    <t>Очистка обочин от снега плужными снегоочистителями на базе трактора  (грунтовые дороги и дороги переходного типа)</t>
  </si>
  <si>
    <t>ЭСНиЕРс 01-05-006-1 (2012г.)</t>
  </si>
  <si>
    <t>Очистка автомобильных дорог от снега средним автогрейдером: снег уплотненный до 300 мм (дороги с асфальтобетонным покрытием)</t>
  </si>
  <si>
    <t>ЭСНиЕРс 01-05-004-1 (2012г.)</t>
  </si>
  <si>
    <t>Очистка автомобильных дорог от снега плужным снегоочистителем на базе трактора (грунтовые дороги и дороги переходного типа)</t>
  </si>
  <si>
    <t>ЭСНиЕРс 01-05-002-4 (2012г.)</t>
  </si>
  <si>
    <t>ЭСНиЕРс 01-05-010-1 (2012г.)</t>
  </si>
  <si>
    <t>Распределение противогололедных материалов (пескосоляной смеси или фрикционных материалов) КДМ мощность машин менее 210 л.с.) (Варгаши-Мостовское-Крутихинское; Подьезд к Варгаши; "Иртыш"-Колташево-Кривина)</t>
  </si>
  <si>
    <t>ЭСНиЕРс 01-05-024-1 (2012г.)</t>
  </si>
  <si>
    <t>ЭСНиЕР 01-05-009-2 (2012г.)</t>
  </si>
  <si>
    <t>Очистка и уборка снежных валов с обочин бульдозером</t>
  </si>
  <si>
    <t>ЭСНиЕРс 01-05-007-1 (2012г.)</t>
  </si>
  <si>
    <t>ЭСНиЕРс 01-05-015-4 (2012г.)</t>
  </si>
  <si>
    <t>ЭСНиЕРс 01-05-029-1 (2012г.)</t>
  </si>
  <si>
    <t>ЭСНиЕРс 01-07-004-01 (2012г.)</t>
  </si>
  <si>
    <t>ЭСНиЕРс 01-04-021-2 (2012г.)</t>
  </si>
  <si>
    <t>ЭСНиЕРс 01-05-023-1 (2012г.)</t>
  </si>
  <si>
    <t>ЭСНиЕРс 01-05-021-1 (2012г.)</t>
  </si>
  <si>
    <t>ЭСНиЕРс 01-04-027-1 (2012г.)</t>
  </si>
  <si>
    <t>Скашивание травы косилкой на базе трактора на пневмоколесном ходу, ширина окашивания до 2 м (Лебяжье-Мокроусово-Щигры-граница Тюменской области, Лебяжье-Лопатки-Клюквенное)</t>
  </si>
  <si>
    <t>ЭСНиЕР 01-02-005-1 (2012г.)</t>
  </si>
  <si>
    <t>ЭСНиЕР 01-02-005-2 (2012г.)</t>
  </si>
  <si>
    <t>ЭСНиЕРс 01-02-017-1 (2017г.)</t>
  </si>
  <si>
    <t>ЭСНиЕРс  01-03-004-01 (2012г.)</t>
  </si>
  <si>
    <t xml:space="preserve"> ЭСНиЕРс 01-04-003-2 (2012г.)</t>
  </si>
  <si>
    <t xml:space="preserve"> ЭСНиЕРс 01-04-009-1 (2012г.)</t>
  </si>
  <si>
    <t>Окраска элементов обстановки и обустройства автомобильных дорог масляными составами по металлу с расчисткой отстающей краски и подготовкой поверхности</t>
  </si>
  <si>
    <t>Очистка обочин от снега комбинированными дорожными машинами:(один проход) (Лебяжье-Мокроусово-Щигры-граница Тюменской области, Лебяжье-Лопатки-Клюквенное)</t>
  </si>
  <si>
    <t>Очистка автомобильных дорог от снега плужным снегоочистителем на базе трактора) (грунтовые дороги и дороги переходного типа)</t>
  </si>
  <si>
    <t>Распределение противогололедных материалов (пескосоляной смеси или фрикционных материалов мощность машин менее 210 л.с.) (Лебяжье-Мокроусово-Щигры-граница Тюменской области, Лебяжье-Лопатки-</t>
  </si>
  <si>
    <t>ЭСНиЕРс 01-05-009-1 (2012г.)</t>
  </si>
  <si>
    <t>ЭСНиЕРс 01-07-004-1</t>
  </si>
  <si>
    <t>Макушинский район</t>
  </si>
  <si>
    <t>ЭСНиЕРс 01-01-004-1(2012 г.)</t>
  </si>
  <si>
    <t>ЭСНиЕРс 01-01-011-1 (2012 г.)</t>
  </si>
  <si>
    <t>ЭСНиЕРс 01-01-012 -1 (2012 г.)</t>
  </si>
  <si>
    <t>ЭСНиЕРс 01-01-012 -2 (2012 г.)</t>
  </si>
  <si>
    <t>ЭСНиЕРс 01-01-018-2 (2012 г.)</t>
  </si>
  <si>
    <t>ЭСНиЕРс 01-02-002-1 (2012 г.)</t>
  </si>
  <si>
    <t>ЭСНиЕРс 01-02-005-1 (2012 г.)</t>
  </si>
  <si>
    <t>ЭСНиЕРс 01-02-005-2 (2012 г.)</t>
  </si>
  <si>
    <t>Применительно ЭСНиЕРс  01-02-007-4 (2012 г.)</t>
  </si>
  <si>
    <t xml:space="preserve"> ЭСНиЕРс 01-02-009-1 (2012 г.)</t>
  </si>
  <si>
    <t xml:space="preserve"> ЭСНиРрс 01-02-017-3</t>
  </si>
  <si>
    <t>ЭСНиЕРс 01-03-002-1 (2012 г.)</t>
  </si>
  <si>
    <t>ЭСНиЕРс  01-03-004-1 (2012 г.)</t>
  </si>
  <si>
    <t>ЭСНиЕРс 01-04-003-1 (2012 г.)</t>
  </si>
  <si>
    <t xml:space="preserve"> ЭСНиЕРс 01-04-004-1 (2012 г.)</t>
  </si>
  <si>
    <t xml:space="preserve"> ЭСНиЕРс 01-04-007-4 (2012 г.)</t>
  </si>
  <si>
    <t>ЭСНиЕРс 01-04-018-1 (2012 г.)</t>
  </si>
  <si>
    <t xml:space="preserve"> ЭСНиЕРс 01-04-009-1 (2012 г.)</t>
  </si>
  <si>
    <t>ЭСНиЕРс 01-07-004-1 (2012 г.)</t>
  </si>
  <si>
    <t>ЭСНиЕРс 01-05-003-2 (2012 г.)</t>
  </si>
  <si>
    <t>ЭСНиЕРс 01-05-006-01 (2012 г.)</t>
  </si>
  <si>
    <t>ЭСНиЕРс 01-05-004-1 (2012 г.)</t>
  </si>
  <si>
    <t>Очистка автомобильных дорог от снега плужным снегоочестителем на базе трактора (грунтовые дороги и дороги переходного типа)</t>
  </si>
  <si>
    <t>ЭСНиЕРс 01-05-002-4 (2012 г.)</t>
  </si>
  <si>
    <t>ЭСНиЕРс 01-05-024-1 (2012 г.)</t>
  </si>
  <si>
    <t>ЭСНиЕРс 01-05-009-1 (2012 г.)</t>
  </si>
  <si>
    <t>Очистка и уборка снежных валов с обочин автогрейдером</t>
  </si>
  <si>
    <t>ЭСНиЕРс 01-05-023-1 (2012 г.)</t>
  </si>
  <si>
    <t>Применительно ЭСНиЕРс 01-05-021-1 (2012 г.)</t>
  </si>
  <si>
    <t>ЭСНиЕРс  01-01-012 -1 (2012 г.)</t>
  </si>
  <si>
    <t>ЭСНиРрс          01-04-021-2</t>
  </si>
  <si>
    <t>Мокроусовский район</t>
  </si>
  <si>
    <t>ЭСНиЕРс 01-01-004-1 (2012 г.)</t>
  </si>
  <si>
    <t>Скашивание травы косилкой на базе трактора на пневмоколесном ходу, ширина окашивания до 2 м (Лебяжье-Мокроусово-Щигры-граница Тюменской области)</t>
  </si>
  <si>
    <t xml:space="preserve"> Применительно ЭСНиЕРс  01-02-007-4 (2012 г.)</t>
  </si>
  <si>
    <t xml:space="preserve"> ЭСНиЕРс 01-02-017-3 (2012 г.)</t>
  </si>
  <si>
    <t xml:space="preserve"> ЭСНиРрс 01-03-004-1 (2012 г.)</t>
  </si>
  <si>
    <t>ЭСНиЕр 01-04-003-1 (2012 г.)</t>
  </si>
  <si>
    <t>ЭНРиЕРс 01-04-005-1 (2012 г.)</t>
  </si>
  <si>
    <t>ЭНРиЕРс 01-04-003-2 (2012 г.)</t>
  </si>
  <si>
    <t>ЭНРиЕРс 01-04-018-1 (2012 г.)</t>
  </si>
  <si>
    <t xml:space="preserve"> ЭНСиЕРс 01-04-007-4 (2012 г.)</t>
  </si>
  <si>
    <t xml:space="preserve"> ЭНСиЕРс 01-04-009-1 (2012 г.)</t>
  </si>
  <si>
    <t>ЭНСиЕРс 01-07-004-1 (2012 г.)</t>
  </si>
  <si>
    <t>ЭНСиЕРс 01-05-003-2 (2012 г.)</t>
  </si>
  <si>
    <t>Очистка обочин от снега плужным оборудованием на базе автомобиля (КДМ) (один проход) (Лебяжье-Мокроусово-Щигры-граница Тюменской области)</t>
  </si>
  <si>
    <t>ЭНСиЕРс 01-05-007-2 (2012 г.)</t>
  </si>
  <si>
    <t>ЭНСиЕРс 01-05-005-1 (2012 г.)</t>
  </si>
  <si>
    <t>ЭНСиЕРс 01-05-006-1 (2012 г.)</t>
  </si>
  <si>
    <t>ЭНСиЕРс 01-05-004-1 (2012 г.)</t>
  </si>
  <si>
    <t>ЭНСиЕРс 01-05-002-4 (2012 г.)</t>
  </si>
  <si>
    <t>Очистка автомобильных дорог от снега  плужным оборудованием на базе автомобиля (КДМ) (Лебяжье-Мокроусово-Щигры-граница Тюменской области)</t>
  </si>
  <si>
    <t>Очистка автомобильных дорог от снега с плугом и щеткой на базе автомобиля (КДМ) (Лебяжье-Мокроусово-Щигры-граница Тюменской области)</t>
  </si>
  <si>
    <t>ЭНСиЕРс 01-05-010-1 (2012 г.)</t>
  </si>
  <si>
    <t>Распределение противогололедных материалов (пескосоляной смеси или фрикционных материалов мощность машин менее 210 л.с.) (Лебяжье-Мокроусово-Щигры-граница Тюменской области)</t>
  </si>
  <si>
    <t>ЭНСиЕРс 01-05-024-1 (2012 г.)</t>
  </si>
  <si>
    <t>ЭНСиЕРс 01-05-009-1 (2012 г.)</t>
  </si>
  <si>
    <t>ЭНСиЕРс 01-05-007-01 (2012 г.)</t>
  </si>
  <si>
    <t>ЭНСиЕРс 01-05-015-04 (2012 г.)</t>
  </si>
  <si>
    <t>ЭНСиРрс 01-07-004-1 (2012 г.)</t>
  </si>
  <si>
    <t>ЭНСиЕРс 01-04-027-2 (2012 г.)</t>
  </si>
  <si>
    <t>Петуховский район</t>
  </si>
  <si>
    <t>1.  Содержание земляного полотна и водоотвода</t>
  </si>
  <si>
    <t>ЭСНиЕРс 01-01-004-1 (2012г.</t>
  </si>
  <si>
    <t>Скашивание травы косилкой на базе трактора на пневмоколесном ходу, ширина окашивания до 2 м (Петухово-Частоозерье, Подъезд к г. Петухово)</t>
  </si>
  <si>
    <t>Применительно ЭСНиЕРс 01-02-007-4 (2012г.)</t>
  </si>
  <si>
    <t xml:space="preserve"> ЭСНиЕРс 01-02-017-03 (2012г.)</t>
  </si>
  <si>
    <t>ЭСНиЕРс  01-03-004-1 (2012г.)</t>
  </si>
  <si>
    <t>ЭСНиЕРс 01-04-003-2 (2012г.)</t>
  </si>
  <si>
    <t>Очистка обочин от снега плужными снегоочистителями на базе автомобиля (КДМ) (один проход) (Петухово-Частоозерье, Подъезд к г. Петухово)</t>
  </si>
  <si>
    <t>Очистка автомобильных дорог от снега средним автогрейдером: снег уплоненный до 300 мм (дороги с асфальтобетонным покрытием)</t>
  </si>
  <si>
    <t>Очистка автомобильных дорог от снега плужным оборудованием на базе автомобиля (КДМ) (Петухово-Частоозерье, Подъезд к г. Петухово)</t>
  </si>
  <si>
    <t>Очистка автомобильных дорог от снега  плугом и щеткой на базе автомобиля(КДМ)(Петухово-частоозерье, Подъезд к г.Петухово)</t>
  </si>
  <si>
    <t>Распределение противогололедных материалов (пескосоляной смеси или фрикционных материалов) КДМ мощностью менее 210 л.с.) (Петухово-частоозерье, Подъезд к Петухово и асфальтобетонные съезды)</t>
  </si>
  <si>
    <t>Уборка снежных валов с обочин автогрейдером</t>
  </si>
  <si>
    <t xml:space="preserve">Половинский район </t>
  </si>
  <si>
    <t>Летнее содержание автомобильнх дорог</t>
  </si>
  <si>
    <t>Скашивание травы косилкой на базе трактора на пневмоколесном ходу, ширина окашивания до 2 м (Курган-Половинное-Воскресенское-граница Казахстана)</t>
  </si>
  <si>
    <t>ЭСНиЕРс 01-02-005-02 (2012 г.)</t>
  </si>
  <si>
    <t>ЭСНиЕРс 01-03-002-01 (2012г.)</t>
  </si>
  <si>
    <t xml:space="preserve"> ЭСНиЕРс 01-03-004-01 (2012г.)</t>
  </si>
  <si>
    <t>ЭСНиЕРс  01-04-007-4 (2012г.)</t>
  </si>
  <si>
    <t xml:space="preserve">Окраска автопавильонов вручную </t>
  </si>
  <si>
    <t>Окраска элементов обстановки и обустройства автомобильных дорог маслянными составами по металлу с расчисткой отстающей краски и подготовкой поверхности</t>
  </si>
  <si>
    <t>ЭСНиЕРс 01-04-009-1 (2012г.)</t>
  </si>
  <si>
    <t>Очистка обочин от снега плужными оборудованием на базе автомобиля (КДМ) (один проход) (Курган-Половинное-Воскресенское-граница Казахстана)</t>
  </si>
  <si>
    <t>ЭСНиЕРс 01-05-006-01 (2012г.)</t>
  </si>
  <si>
    <t>Очистка автомобильных дорог от снега плужным снегоочестителем на базе трактора) (грунтовые дороги и дороги переходного типа)</t>
  </si>
  <si>
    <t>ЭСНиРрс 01-05-004-1</t>
  </si>
  <si>
    <t>Очистка автомобильных дорог от снега  плужным оборудованием на базе автомобиля (КДМ) (Курган-Половинное-Воскресенское-граница Казахстана)</t>
  </si>
  <si>
    <t>Очистка  автомобильных дорог от снега плугом и щеткой на базе автомобиля (КДМ) (Курган-Половинное-Воскресенское-граница Казахстана)</t>
  </si>
  <si>
    <t>Распределение противогололедных материалов (пескосоляной смеси или фрикционных материалов мощность машин менее 210 л.с.) (Курган-Половинное-Воскресенское-граница Казахстана)</t>
  </si>
  <si>
    <t>Применительно ЭСНиЕРс 01-05-021-1 (2012г.)</t>
  </si>
  <si>
    <t>Частоозерский район</t>
  </si>
  <si>
    <t>Скашивание травы косилкой на базе трактора на пневмоколесном ходу, ширина окашивания до 2 м ( Петухово-Частоозерье)</t>
  </si>
  <si>
    <t xml:space="preserve"> ЭСНиЕРс 01-02-007-4 (2012г.) применительно</t>
  </si>
  <si>
    <t>ЭСНиЕРс  01-02-017-3 (2012г.)</t>
  </si>
  <si>
    <t>ЭСНиЕРс 01-04-003-1</t>
  </si>
  <si>
    <t>ЭСНиЕР 01-04-003-2 (2012г.)</t>
  </si>
  <si>
    <t>Очистка обочин от снега плужными снегоочистителями на базе автомобиля (КДМ) (один проход) (Петухово - Частоозерье)</t>
  </si>
  <si>
    <t>ЭСНиЕРс 01-05-005-01</t>
  </si>
  <si>
    <t>Очистка автомобильных дорог от снега средним автогрейдером: снег уплотненный  до 300 мм (дороги с асфальтобетонным покрытием)</t>
  </si>
  <si>
    <t>Очистка автомобильных дорог от снега  плужным оборудованием на базе автомобиля (КДМ) (Петухово - Частоозерье)</t>
  </si>
  <si>
    <t>Очистка  автомобильных дорог от снега  плугом и щеткой на базе автомобиля (КДМ)  (Петухово - Частоозерье)</t>
  </si>
  <si>
    <t>Распределение противогололедных материалов (пескосоляной смеси или фрикционных материалов) КДМ мощностью машин менее 210 л.с.) (Петухово - Частоозерье и асфальтобетонные съезды)</t>
  </si>
  <si>
    <t xml:space="preserve">Уборка различных предметов и мусора с элементов автомобильной дороги </t>
  </si>
  <si>
    <t>Ликвидация  съездов с автомобильных дорог (въездов на автомобильные дороги) в неустановленных местах: бульдозером 108 л.с</t>
  </si>
  <si>
    <t xml:space="preserve">Ликвидация  съездов с автомобильных дорог (въездов на автомобильные дороги) в неустановленных местах: бульдозером </t>
  </si>
  <si>
    <t>освещение и светофоры</t>
  </si>
  <si>
    <t>летнее</t>
  </si>
  <si>
    <t>зимнее</t>
  </si>
  <si>
    <t>освещение</t>
  </si>
  <si>
    <t>1867249 м2  0,0005</t>
  </si>
  <si>
    <t>15 м2 на 26 штук</t>
  </si>
  <si>
    <t>15 м2 на 13 шт</t>
  </si>
  <si>
    <t>1740 50 %</t>
  </si>
  <si>
    <t>ЭСНиЕРс  01-05-023-1 (2012 г.)</t>
  </si>
  <si>
    <t>ЭСНиЕРс 01-11-002-3 (2012 г.)</t>
  </si>
  <si>
    <t>Погрузка материалов  механизированным способом</t>
  </si>
  <si>
    <t>ЭСНиЕРс 01-11-002-11 (2012 г.)</t>
  </si>
  <si>
    <t xml:space="preserve">Перевозка грузов автомобилями-самосвалами по дорогам с усовершенствованными покрытиями на расстояние свыше 3 км </t>
  </si>
  <si>
    <t>15 м2 на 16 штук</t>
  </si>
  <si>
    <t>2622 50%</t>
  </si>
  <si>
    <t>15 м2 на 17 шт</t>
  </si>
  <si>
    <t>15 м2 на 26 шт</t>
  </si>
  <si>
    <t>2618 50%</t>
  </si>
  <si>
    <t>15 м2 на 1</t>
  </si>
  <si>
    <t>Скашивание травы косилкой на базе трактора на пневмоколесном ходу, ширина окашивания до 2 м (Макушино-Сетовное-Клюквенное-Неверовское-граница Казахстана (22,32 км, Подъезд к Макушино (3,608 км))</t>
  </si>
  <si>
    <t>Очистка обочин от снега плужными снегоочистителями на базе автомобиля (КДМ) (один проход) (Макушино-Сетовное-Клюквенное-Неверовское-граница Казахстана (22,32 км, Подъезд к Макушино (3,608 км))</t>
  </si>
  <si>
    <t>Очистка автомобильных дорог от снега плужным оборудованием на базе автомобиля (КДМ) (Макушино-Сетовное-Клюквенное-Неверовское-граница Казахстана (22,32 км, Подъезд к Макушино (3,608 км)</t>
  </si>
  <si>
    <t>Распределение противогололедных материалов (пескосоляной смеси или фрикционных материалов мощность машин менее 210 л.с.) (Макушино-Сетовное-Клюквенное-Неверовское-граница Казахстана (22,32 км), Подъезд к Макушино (3,608 км)</t>
  </si>
  <si>
    <t>Индекс
 (индекс-дефлятор)
перевода в цены 
2022 года</t>
  </si>
  <si>
    <t>Распоряжение региональной энергетической комиссии Тюменской области от 15 июля 2021 года № 10</t>
  </si>
  <si>
    <t>прибавили 900 м на подъезде к путепроводу</t>
  </si>
  <si>
    <t>Индекс
 (индекс-дефлятор)
перевода в цены 
2023 года</t>
  </si>
  <si>
    <t>Краска разметочная дорожная: МАГИСТРАЛЬ, белая
(т)</t>
  </si>
  <si>
    <r>
      <t>Разметка проезжей части краской прерывистой линией шириной 0,1 м при соотношении штриха и промежутка: 1:3 (1.5)
(км)</t>
    </r>
    <r>
      <rPr>
        <i/>
        <sz val="10"/>
        <rFont val="Arial"/>
        <family val="2"/>
        <charset val="204"/>
      </rPr>
      <t xml:space="preserve">
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</si>
  <si>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r>
      <t>Разметка проезжей части краской прерывистой линией шириной 0,1 м при соотношении штриха и промежутка: 3:1 (1,6)
(км)</t>
    </r>
    <r>
      <rPr>
        <i/>
        <sz val="10"/>
        <rFont val="Arial"/>
        <family val="2"/>
        <charset val="204"/>
      </rPr>
      <t xml:space="preserve">
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</si>
  <si>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r>
      <t>ФССЦ-01.5.01.03-1022</t>
    </r>
    <r>
      <rPr>
        <i/>
        <sz val="10"/>
        <rFont val="Arial"/>
        <family val="2"/>
        <charset val="204"/>
      </rPr>
      <t xml:space="preserve">
Приказ Минстроя России от 26.12.2019 №876/пр</t>
    </r>
  </si>
  <si>
    <r>
      <t>ФЕР27-09-016-05</t>
    </r>
    <r>
      <rPr>
        <i/>
        <sz val="10"/>
        <rFont val="Arial"/>
        <family val="2"/>
        <charset val="204"/>
      </rPr>
      <t xml:space="preserve">
Приказ Минстроя России от 09.02.2021 №51/пр.</t>
    </r>
  </si>
  <si>
    <r>
      <t>ФССЦ-01.5.01.01-0008</t>
    </r>
    <r>
      <rPr>
        <i/>
        <sz val="10"/>
        <rFont val="Arial"/>
        <family val="2"/>
        <charset val="204"/>
      </rPr>
      <t xml:space="preserve">
Приказ Минстроя России от 26.12.2019 №876/пр</t>
    </r>
  </si>
  <si>
    <r>
      <t>ФЕР27-09-016-06</t>
    </r>
    <r>
      <rPr>
        <i/>
        <sz val="10"/>
        <rFont val="Arial"/>
        <family val="2"/>
        <charset val="204"/>
      </rPr>
      <t xml:space="preserve">
Приказ Минстроя России от 09.02.2021 №51/пр.</t>
    </r>
  </si>
  <si>
    <r>
      <t>ФЕР27-09-016-04</t>
    </r>
    <r>
      <rPr>
        <i/>
        <sz val="10"/>
        <rFont val="Arial"/>
        <family val="2"/>
        <charset val="204"/>
      </rPr>
      <t xml:space="preserve">
Приказ Минстроя России от 09.02.2021 №51/пр.</t>
    </r>
  </si>
  <si>
    <t>ФССЦ-01.5.01.01-0008
Приказ Минстроя России от 26.12.2019 №876/пр</t>
  </si>
  <si>
    <r>
      <t>ФЕР27-09-016-01</t>
    </r>
    <r>
      <rPr>
        <i/>
        <sz val="10"/>
        <rFont val="Arial"/>
        <family val="2"/>
        <charset val="204"/>
      </rPr>
      <t xml:space="preserve">
Приказ Минстроя России от 09.02.2021 №51/пр.</t>
    </r>
  </si>
  <si>
    <t>км</t>
  </si>
  <si>
    <t>т</t>
  </si>
  <si>
    <t xml:space="preserve">Краска разметочная дорожная: МАГИСТРАЛЬ, белая
</t>
  </si>
  <si>
    <t xml:space="preserve">Стеклошарики световозвращающие 400-800 мкм
</t>
  </si>
  <si>
    <t>Краска разметочная дорожная: МАГИСТРАЛЬ, белая</t>
  </si>
  <si>
    <t>Стеклошарики световозвращающие 400-800 мкм</t>
  </si>
  <si>
    <r>
      <t>Разметка проезжей части краской прерывистой линией шириной 0,1 м при соотношении штриха и промежутка: 1:1 (1.7)</t>
    </r>
    <r>
      <rPr>
        <i/>
        <sz val="10"/>
        <rFont val="Arial"/>
        <family val="2"/>
        <charset val="204"/>
      </rPr>
      <t xml:space="preserve">
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</si>
  <si>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r>
      <t>Разметка проезжей части краской сплошной линией шириной: 0,1 м (1.1)
(км)</t>
    </r>
    <r>
      <rPr>
        <i/>
        <sz val="10"/>
        <rFont val="Arial"/>
        <family val="2"/>
        <charset val="204"/>
      </rPr>
      <t xml:space="preserve">
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</si>
  <si>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r>
      <t>Разметка проезжей части краской прерывистой линией шириной 0,1 м при соотношении штриха и промежутка: 3:1 (1.6)</t>
    </r>
    <r>
      <rPr>
        <i/>
        <sz val="10"/>
        <rFont val="Arial"/>
        <family val="2"/>
        <charset val="204"/>
      </rPr>
      <t xml:space="preserve">
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</si>
  <si>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r>
      <t>ФЕР27-09-016-03</t>
    </r>
    <r>
      <rPr>
        <i/>
        <sz val="10"/>
        <rFont val="Arial"/>
        <family val="2"/>
        <charset val="204"/>
      </rPr>
      <t xml:space="preserve">
Приказ Минстроя России от 09.02.2021 №51/пр.</t>
    </r>
  </si>
  <si>
    <r>
      <t xml:space="preserve">Разметка проезжей части краской сплошной линией шириной: 0,4 м (1.14.1)
</t>
    </r>
    <r>
      <rPr>
        <i/>
        <sz val="10"/>
        <rFont val="Arial"/>
        <family val="2"/>
        <charset val="204"/>
      </rPr>
      <t>(ПЗ=2 (ОЗП=2; ЭМ=2 к расх.; ЗПМ=2; МАТ=2 к расх.; ТЗ=2; ТЗМ=2))</t>
    </r>
  </si>
  <si>
    <r>
      <t>ФЕР27-09-018-01</t>
    </r>
    <r>
      <rPr>
        <i/>
        <sz val="10"/>
        <rFont val="Arial"/>
        <family val="2"/>
        <charset val="204"/>
      </rPr>
      <t xml:space="preserve">
Приказ Минстроя России от 26.12.2019 №876/пр</t>
    </r>
  </si>
  <si>
    <r>
      <t xml:space="preserve">Нанесение линии горизонтальной дорожной разметки краской со световозвращающими элементами на дорожное покрытие (асфальт, поверхностная обработка) (1.24.1, 1.24.2)
</t>
    </r>
    <r>
      <rPr>
        <i/>
        <sz val="10"/>
        <rFont val="Arial"/>
        <family val="2"/>
        <charset val="204"/>
      </rPr>
      <t>218.40 = 227.16 - 0.02 x 437.82
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</si>
  <si>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t>Стеклошарики световозвращающие 400-800 мкм
(т)</t>
  </si>
  <si>
    <r>
      <t xml:space="preserve">Разметка проезжей части краской сплошной линией шириной: 0,1 м (1.1)
</t>
    </r>
    <r>
      <rPr>
        <i/>
        <sz val="10"/>
        <rFont val="Arial"/>
        <family val="2"/>
        <charset val="204"/>
      </rPr>
      <t>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</si>
  <si>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t>в ценах 2021 года</t>
  </si>
  <si>
    <t>Уход за посадками, обрезка веток для обеспечения видимости, уборка сухостоя (кустарник)</t>
  </si>
  <si>
    <t>279.35
33.73</t>
  </si>
  <si>
    <t>476.42
56.22</t>
  </si>
  <si>
    <t>270.84
20.44</t>
  </si>
  <si>
    <t>262.08
20.44</t>
  </si>
  <si>
    <t>5543.17
305.22</t>
  </si>
  <si>
    <t>218.4
17.03</t>
  </si>
  <si>
    <r>
      <t>0.0091</t>
    </r>
    <r>
      <rPr>
        <i/>
        <sz val="10"/>
        <rFont val="Arial"/>
        <family val="2"/>
        <charset val="204"/>
      </rPr>
      <t xml:space="preserve">
0.065*0.14</t>
    </r>
  </si>
  <si>
    <r>
      <t>0.0072</t>
    </r>
    <r>
      <rPr>
        <i/>
        <sz val="10"/>
        <rFont val="Arial"/>
        <family val="2"/>
        <charset val="204"/>
      </rPr>
      <t xml:space="preserve">
0.060*0.12</t>
    </r>
  </si>
  <si>
    <r>
      <t>0.0252</t>
    </r>
    <r>
      <rPr>
        <i/>
        <sz val="10"/>
        <rFont val="Arial"/>
        <family val="2"/>
        <charset val="204"/>
      </rPr>
      <t xml:space="preserve">
0.042*0.6</t>
    </r>
  </si>
  <si>
    <r>
      <t>0.0399</t>
    </r>
    <r>
      <rPr>
        <i/>
        <sz val="10"/>
        <rFont val="Arial"/>
        <family val="2"/>
        <charset val="204"/>
      </rPr>
      <t xml:space="preserve">
0.0105*3.8</t>
    </r>
  </si>
  <si>
    <r>
      <t>0.0504</t>
    </r>
    <r>
      <rPr>
        <i/>
        <sz val="10"/>
        <rFont val="Arial"/>
        <family val="2"/>
        <charset val="204"/>
      </rPr>
      <t xml:space="preserve">
0.0315*1.6</t>
    </r>
  </si>
  <si>
    <r>
      <t>0.0084</t>
    </r>
    <r>
      <rPr>
        <i/>
        <sz val="10"/>
        <rFont val="Arial"/>
        <family val="2"/>
        <charset val="204"/>
      </rPr>
      <t xml:space="preserve">
0.021*0.4</t>
    </r>
  </si>
  <si>
    <r>
      <t>0.0168</t>
    </r>
    <r>
      <rPr>
        <i/>
        <sz val="10"/>
        <rFont val="Arial"/>
        <family val="2"/>
        <charset val="204"/>
      </rPr>
      <t xml:space="preserve">
0.021*0.8</t>
    </r>
  </si>
  <si>
    <r>
      <t>0.0168</t>
    </r>
    <r>
      <rPr>
        <i/>
        <sz val="10"/>
        <rFont val="Arial"/>
        <family val="2"/>
        <charset val="204"/>
      </rPr>
      <t xml:space="preserve">
0.042*0.4</t>
    </r>
  </si>
  <si>
    <r>
      <t>0.002016</t>
    </r>
    <r>
      <rPr>
        <i/>
        <sz val="10"/>
        <rFont val="Arial"/>
        <family val="2"/>
        <charset val="204"/>
      </rPr>
      <t xml:space="preserve">
0.042*0.048</t>
    </r>
  </si>
  <si>
    <r>
      <t>0.009408</t>
    </r>
    <r>
      <rPr>
        <i/>
        <sz val="10"/>
        <rFont val="Arial"/>
        <family val="2"/>
        <charset val="204"/>
      </rPr>
      <t xml:space="preserve">
0.336*0.028</t>
    </r>
  </si>
  <si>
    <r>
      <t>0.013416</t>
    </r>
    <r>
      <rPr>
        <i/>
        <sz val="10"/>
        <rFont val="Arial"/>
        <family val="2"/>
        <charset val="204"/>
      </rPr>
      <t xml:space="preserve">
0.078*0.172</t>
    </r>
  </si>
  <si>
    <r>
      <t>0.010608</t>
    </r>
    <r>
      <rPr>
        <i/>
        <sz val="10"/>
        <rFont val="Arial"/>
        <family val="2"/>
        <charset val="204"/>
      </rPr>
      <t xml:space="preserve">
0.078*0.136</t>
    </r>
  </si>
  <si>
    <r>
      <t>ФЕР27-09-019-01</t>
    </r>
    <r>
      <rPr>
        <i/>
        <sz val="10"/>
        <rFont val="Arial"/>
        <family val="2"/>
        <charset val="204"/>
      </rPr>
      <t xml:space="preserve">
Приказ Минстроя России от 26.12.2019 №876/пр</t>
    </r>
  </si>
  <si>
    <r>
      <t>0.02394</t>
    </r>
    <r>
      <rPr>
        <i/>
        <sz val="10"/>
        <rFont val="Arial"/>
        <family val="2"/>
        <charset val="204"/>
      </rPr>
      <t xml:space="preserve">
0.042*0.57</t>
    </r>
  </si>
  <si>
    <r>
      <t>0.15</t>
    </r>
    <r>
      <rPr>
        <i/>
        <sz val="10"/>
        <rFont val="Arial"/>
        <family val="2"/>
        <charset val="204"/>
      </rPr>
      <t xml:space="preserve">
15/100</t>
    </r>
  </si>
  <si>
    <r>
      <t>0.0117</t>
    </r>
    <r>
      <rPr>
        <i/>
        <sz val="10"/>
        <rFont val="Arial"/>
        <family val="2"/>
        <charset val="204"/>
      </rPr>
      <t xml:space="preserve">
0.078*0.15</t>
    </r>
  </si>
  <si>
    <r>
      <t xml:space="preserve">Разметка проезжей части краской прерывистой линией шириной 0,1 м при соотношении штриха и промежутка: 1:3 (1.5)
</t>
    </r>
    <r>
      <rPr>
        <i/>
        <sz val="10"/>
        <rFont val="Arial"/>
        <family val="2"/>
        <charset val="204"/>
      </rPr>
      <t>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</si>
  <si>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r>
      <t xml:space="preserve">Разметка проезжей части краской сплошной линией шириной: 0,1 м (1.2.1)
</t>
    </r>
    <r>
      <rPr>
        <i/>
        <sz val="10"/>
        <rFont val="Arial"/>
        <family val="2"/>
        <charset val="204"/>
      </rPr>
      <t>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</si>
  <si>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r>
      <t xml:space="preserve">Разметка проезжей части краской сплошной линией шириной: 0,1 м (1.11)
</t>
    </r>
    <r>
      <rPr>
        <i/>
        <sz val="10"/>
        <rFont val="Arial"/>
        <family val="2"/>
        <charset val="204"/>
      </rPr>
      <t>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</si>
  <si>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r>
      <t xml:space="preserve">Разметка проезжей части краской сплошной линией шириной: 0,6 м (1.13)
</t>
    </r>
    <r>
      <rPr>
        <i/>
        <sz val="10"/>
        <rFont val="Arial"/>
        <family val="2"/>
        <charset val="204"/>
      </rPr>
      <t>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</si>
  <si>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r>
      <t xml:space="preserve">Нанесение линии горизонтальной дорожной разметки краской со световозвращающими элементами на дорожное покрытие (асфальт, поверхностная обработка) (1.16.2)
</t>
    </r>
    <r>
      <rPr>
        <i/>
        <sz val="10"/>
        <rFont val="Arial"/>
        <family val="2"/>
        <charset val="204"/>
      </rPr>
      <t>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</si>
  <si>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r>
      <t xml:space="preserve">Нанесение обозначений движения по полосам со световозвращающими элементами (1.18)
</t>
    </r>
    <r>
      <rPr>
        <i/>
        <sz val="10"/>
        <rFont val="Arial"/>
        <family val="2"/>
        <charset val="204"/>
      </rPr>
      <t>4 619.31 = 8 185.11 - 40 x 0.80 - 0.159 x 22 130.00 - 0.5 x 30.26
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</si>
  <si>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r>
      <t xml:space="preserve">Нанесение линии горизонтальной дорожной разметки краской со световозвращающими элементами на дорожное покрытие (асфальт, поверхностная обработка) (1.19)
</t>
    </r>
    <r>
      <rPr>
        <i/>
        <sz val="10"/>
        <rFont val="Arial"/>
        <family val="2"/>
        <charset val="204"/>
      </rPr>
      <t>218.40 = 227.16 - 0.02 x 437.82</t>
    </r>
  </si>
  <si>
    <r>
      <t xml:space="preserve">Разметка проезжей части краской сплошной линией шириной: 0,4 м (1.12)
</t>
    </r>
    <r>
      <rPr>
        <i/>
        <sz val="10"/>
        <rFont val="Arial"/>
        <family val="2"/>
        <charset val="204"/>
      </rPr>
      <t>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</si>
  <si>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t>8. Разметка автомобильных дорог</t>
  </si>
  <si>
    <t>7. Разметка автомобильных дорог</t>
  </si>
  <si>
    <r>
      <t xml:space="preserve">Нанесение линии горизонтальной дорожной разметки краской со световозвращающими элементами на дорожное покрытие (асфальт, поверхностная обработка) (1.16.3)
</t>
    </r>
    <r>
      <rPr>
        <i/>
        <sz val="10"/>
        <rFont val="Arial"/>
        <family val="2"/>
        <charset val="204"/>
      </rPr>
      <t>218.40 = 227.16 - 0.02 x 437.82
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</si>
  <si>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t>Стеклошарики световозвращающие 400-800 мк</t>
  </si>
  <si>
    <r>
      <t xml:space="preserve">Разметка проезжей части краской сплошной линией шириной: 0,1 м (1.1) </t>
    </r>
    <r>
      <rPr>
        <i/>
        <sz val="10"/>
        <rFont val="Arial"/>
        <family val="2"/>
        <charset val="204"/>
      </rPr>
      <t xml:space="preserve">
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</si>
  <si>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t>Лебяжьевский район</t>
  </si>
  <si>
    <r>
      <t xml:space="preserve">Разметка проезжей части краской сплошной линией шириной: 0,15  м (1.3)
</t>
    </r>
    <r>
      <rPr>
        <i/>
        <sz val="10"/>
        <rFont val="Arial"/>
        <family val="2"/>
        <charset val="204"/>
      </rPr>
      <t>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</si>
  <si>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t>лето</t>
  </si>
  <si>
    <t>зима</t>
  </si>
  <si>
    <r>
      <t xml:space="preserve">Разметка проезжей части краской прерывистой линией шириной 0,2 м при соотношении штриха и промежутка: 1:3 (1.8)
</t>
    </r>
    <r>
      <rPr>
        <i/>
        <sz val="10"/>
        <rFont val="Arial"/>
        <family val="2"/>
        <charset val="204"/>
      </rPr>
      <t>(Прил.27.3 п.3.1 Производство работ на одной половине проезжей части при систематическом движении транспорта на другой ОЗП=1.2; ЭМ=1.2 к расх.; ЗПМ=1.2; ТЗ=1.2; ТЗМ=1.2)</t>
    </r>
  </si>
  <si>
    <r>
      <t>100 м</t>
    </r>
    <r>
      <rPr>
        <sz val="10"/>
        <rFont val="Calibri"/>
        <family val="2"/>
        <charset val="204"/>
      </rPr>
      <t>²</t>
    </r>
  </si>
  <si>
    <t>ЭСН 27-09-060-2
(2000г.)</t>
  </si>
  <si>
    <t>ЭСН 27-09-061-2
(2000г.)</t>
  </si>
  <si>
    <t>ЭСН 27-09-062-4
(2000г.)</t>
  </si>
  <si>
    <t>ЭСН 27-09-062-7
(2000г.)</t>
  </si>
  <si>
    <t>ЭСН 27-09-063-1
(2000г.)</t>
  </si>
  <si>
    <t>Базовая ценга за единицу измерения  с индексом дефлятором</t>
  </si>
  <si>
    <t>Стоимость выполнения работ, руб.</t>
  </si>
  <si>
    <t>НДС 20%, руб.</t>
  </si>
  <si>
    <t>Базовая цена  с НДС</t>
  </si>
  <si>
    <t xml:space="preserve"> км </t>
  </si>
  <si>
    <t>шт.</t>
  </si>
  <si>
    <t>Техническое обслуживание пешеходного светофора</t>
  </si>
  <si>
    <t>Техническое обслуживание шкафа учета электроэнергии в квартал</t>
  </si>
  <si>
    <t xml:space="preserve">км </t>
  </si>
  <si>
    <t xml:space="preserve"> км</t>
  </si>
  <si>
    <t>ЭСН 27-09-063-1
(2000г., применительно)</t>
  </si>
  <si>
    <t>Техническое обслуживание электрооборудования  объекта</t>
  </si>
  <si>
    <t xml:space="preserve"> кВтч</t>
  </si>
  <si>
    <t xml:space="preserve">м </t>
  </si>
  <si>
    <r>
      <t>тыс.м</t>
    </r>
    <r>
      <rPr>
        <sz val="10"/>
        <rFont val="Calibri"/>
        <family val="2"/>
        <charset val="204"/>
      </rPr>
      <t>²</t>
    </r>
  </si>
  <si>
    <t>тыс.м²</t>
  </si>
  <si>
    <t>м</t>
  </si>
  <si>
    <t>м²</t>
  </si>
  <si>
    <t xml:space="preserve"> шт.</t>
  </si>
  <si>
    <t xml:space="preserve"> шт</t>
  </si>
  <si>
    <r>
      <t>м</t>
    </r>
    <r>
      <rPr>
        <sz val="10"/>
        <rFont val="Calibri"/>
        <family val="2"/>
        <charset val="204"/>
      </rPr>
      <t>²</t>
    </r>
  </si>
  <si>
    <t xml:space="preserve"> м </t>
  </si>
  <si>
    <t>тыс. м²</t>
  </si>
  <si>
    <r>
      <t xml:space="preserve"> м</t>
    </r>
    <r>
      <rPr>
        <sz val="10"/>
        <rFont val="Calibri"/>
        <family val="2"/>
        <charset val="204"/>
      </rPr>
      <t>²</t>
    </r>
  </si>
  <si>
    <t xml:space="preserve">Летнее содержание </t>
  </si>
  <si>
    <t>Содержание электроосвещения и светофора</t>
  </si>
  <si>
    <t xml:space="preserve"> Содержание электроосвещения и светофора</t>
  </si>
  <si>
    <t>7.2. Разметка пешеходных переходов (с. Варгаши, с. Дубровное, с. Строево, с. Спорное, с. Дундино, с. Попово,                     с. Шастово)</t>
  </si>
  <si>
    <t xml:space="preserve"> Летнее содержание </t>
  </si>
  <si>
    <t xml:space="preserve"> м</t>
  </si>
  <si>
    <r>
      <t xml:space="preserve">м </t>
    </r>
    <r>
      <rPr>
        <sz val="10"/>
        <rFont val="Calibri"/>
        <family val="2"/>
        <charset val="204"/>
      </rPr>
      <t>²</t>
    </r>
  </si>
  <si>
    <t>,</t>
  </si>
  <si>
    <t>Стоимость работ с с НДС</t>
  </si>
  <si>
    <t>Итого в Варгашинском районе:</t>
  </si>
  <si>
    <t>Итого в Лебяжьевском районе:</t>
  </si>
  <si>
    <t>Итого в Макушинском районе:</t>
  </si>
  <si>
    <t>Итого в Петуховском районе:</t>
  </si>
  <si>
    <t>Итого  в  Частоозерском районе:</t>
  </si>
  <si>
    <t>Итого в Половинском районе:</t>
  </si>
  <si>
    <t>ЭСНиЕРс01-01-002-1</t>
  </si>
  <si>
    <t>Подсыпка обочин бульдозером</t>
  </si>
  <si>
    <t>ЭСНиЕРс01-01-001-1</t>
  </si>
  <si>
    <t>Разравнивание грунта при подсыпке обочин автогрейдером толщина слоя до 10 см</t>
  </si>
  <si>
    <t>ЭСНиЕРс01-01-003-1</t>
  </si>
  <si>
    <t>Уплотнение грунта самоходным катком на пневматических шинах</t>
  </si>
  <si>
    <t>Базовая цена  без НДС с НР  и СП</t>
  </si>
  <si>
    <t>ЭСНиЕРс01-02-021-1</t>
  </si>
  <si>
    <t>Ликвидация колей по полосам наката глубиной до 30 мм</t>
  </si>
  <si>
    <t>Замена дорожных знаков на существующих стойках: предупреждающие, запрещающие</t>
  </si>
  <si>
    <t>ЭСНиЕРс01-04-001-1</t>
  </si>
  <si>
    <t xml:space="preserve"> Очистка и мойка дорожных знаков и сигнальных столбиков</t>
  </si>
  <si>
    <t xml:space="preserve">ЭСНиЕРс01-04-017-1 </t>
  </si>
  <si>
    <t xml:space="preserve">Очистка и мойка автопавильонов, пешеходных переходов и шумозащитных экранов </t>
  </si>
  <si>
    <t>ЭСНиЕРс01-04-008-4</t>
  </si>
  <si>
    <t>Очистка поверхности ограждения от пыли и грязи с подноской воды ведрами</t>
  </si>
  <si>
    <t>ЭСНиЕРс01-04-026-1</t>
  </si>
  <si>
    <t xml:space="preserve">Установка и замена световозвращающих элементов на барьерном ограждении </t>
  </si>
  <si>
    <t>ЭСНиЕРс01-04-008-5</t>
  </si>
  <si>
    <t>Очистка световозвращающих элементов (катафотов) от пыли и грязи щеткой, кистью или ветошью</t>
  </si>
  <si>
    <t>ЭСНиЕРс01-04-011-1</t>
  </si>
  <si>
    <t xml:space="preserve">Выправка отдельных частей металлического барьерного ограждения </t>
  </si>
  <si>
    <t>ЭСНиЕРс01-04-002-2</t>
  </si>
  <si>
    <t>Окраска металлических щитков дорожных знаков</t>
  </si>
  <si>
    <t>прямой расчет</t>
  </si>
  <si>
    <t>Распределение противогололедных материалов (пескосоляной смеси или фрикционных материалов) КДМ мощность машин менее 210 л.с.) (Прочие дороги с твердым покрытием)</t>
  </si>
  <si>
    <t>ЭСНиЕРс01-05-015-2</t>
  </si>
  <si>
    <t>Изготовление указательных вех со светоотражающими элементами с установкой</t>
  </si>
  <si>
    <t>ЭСНиЕРс01-05-020-1</t>
  </si>
  <si>
    <t xml:space="preserve">Разбрасывание снега возле стоек дорожных знаков, сигнальных столбиков, тумб и опор дорожного освещения </t>
  </si>
  <si>
    <t>ЭСНиЕРс01-05-019-1</t>
  </si>
  <si>
    <t>Очистка дорожных знаков от снега</t>
  </si>
  <si>
    <t>ЭСНиЕРс01-05-021-1</t>
  </si>
  <si>
    <t xml:space="preserve">Очистка барьерного ограждения от снега </t>
  </si>
  <si>
    <t>ЭСНиЕРс01-05-022-1</t>
  </si>
  <si>
    <t xml:space="preserve">Уборка снега у барьерного ограждения </t>
  </si>
  <si>
    <t xml:space="preserve">ЭСНиЕРс01-03-011-1 </t>
  </si>
  <si>
    <t>Окраска металлического перильного ограждения пистолетом-распылителем</t>
  </si>
  <si>
    <t xml:space="preserve">ЭСНиЕРс01-04-008-4 </t>
  </si>
  <si>
    <t>что 182</t>
  </si>
  <si>
    <t>Распределение противогололёдных материалов прочие  дороги с асфальтобетонным покрытием</t>
  </si>
  <si>
    <t>ЭСНиЕРС 01-01-012-1(2012г.)</t>
  </si>
  <si>
    <t>Скашивание травы вручную</t>
  </si>
  <si>
    <t>ЭСНиЕРС  01-04-021-2 (2012 г.)</t>
  </si>
  <si>
    <t>Очистка тротуаров вручную</t>
  </si>
  <si>
    <t>Окраска металлического перильного ограждения</t>
  </si>
  <si>
    <t>ЭСНиЕРс 01-04-004-3 (2012г.)</t>
  </si>
  <si>
    <t>Очистка автомобильных дорог от снега плугом и щеткой или щеткой  на базе автомобиля (КДМ) (Варгаши-Мостовское-Крутихинское; Подъезд к Варгаши; "Иртыш"-Колташево-Кривина)</t>
  </si>
  <si>
    <t>Утилизация мусора убранного с элементов автомобильной дороги</t>
  </si>
  <si>
    <t>Постановление Департамента государственного регулирования цен и тарифов Курганской области от 28.12.2021 г. № 56-8</t>
  </si>
  <si>
    <t>Замена указателей и знаков индивидуального проектированиядорожных знаков на существующих   стойках</t>
  </si>
  <si>
    <t>смена</t>
  </si>
  <si>
    <t xml:space="preserve"> смена</t>
  </si>
  <si>
    <t>Текущие и периодические осмотры; оценка качества содержания автомобильных дорог и дорожных сооружений в летний период</t>
  </si>
  <si>
    <t>ЭСНиЕРс 01-05-002-1 (2012г.)</t>
  </si>
  <si>
    <t>Очистка автомобильных дорог от снега плужным оборудованием  на базе автомобиля (КДМ) (Варгаши-Мостовское-Крутихинское; Подъезд к Варгаши; "Иртыш"-Колташево-Кривина)</t>
  </si>
  <si>
    <t>Текущие и периодические осмотры; оценка качества содержания автомобильных дорог и дорожных сооружений в зимний период</t>
  </si>
  <si>
    <t>тыс м²</t>
  </si>
  <si>
    <t>Очистка автомобильных дорог от снега плугом и щеткой или щеткой на базе автомобиля  КДМ (Лебяжье-Мокроусово-Щигры-граница Тюменской области, Лебяжье-Лопатки-Клюквенное</t>
  </si>
  <si>
    <t>Очистка автомобильных дорог от снега  плугжным оборудованием на базе автомобиля(КДМ)(Лебяжье-Мокроусово-Щигры-граница Тюменской области, Лебяжье-Лопатки- Клюквенное и асфальтобетонные съезды)</t>
  </si>
  <si>
    <t>ЭСНиЕРс 01-05-009-2 (2012г.)</t>
  </si>
  <si>
    <t>Обеспечение работы дежурно-диспетчерской службы  в  зимний период</t>
  </si>
  <si>
    <t>Обеспечение работы дежурно-диспетчерской службы  в  летний период</t>
  </si>
  <si>
    <r>
      <t>м</t>
    </r>
    <r>
      <rPr>
        <sz val="10"/>
        <rFont val="Calibri"/>
        <family val="2"/>
        <charset val="204"/>
      </rPr>
      <t>³</t>
    </r>
  </si>
  <si>
    <t>ЭСНиЕРс 01-04-003-2 (2012 г.)</t>
  </si>
  <si>
    <t>ЭСНиЕРс 01-05-002-1 (2012 г.)</t>
  </si>
  <si>
    <t>Очистка автомобильных дорог от снега  плугом и щеткой или щеткой на базе автомобиля (КДМ) (Макушино-Сетовное-Клюквенное-Неверовское-граница Казахстана (22,32 км), Подъезд к Макушино (3,608 км))</t>
  </si>
  <si>
    <t>Обеспечение работы дежурно-диспетчерской службы в зимний  период</t>
  </si>
  <si>
    <t xml:space="preserve">Уборка снега у барьерного ограждения вручную           </t>
  </si>
  <si>
    <t>ЭНСиЕРс 01-05-002-1 (2012 г.)</t>
  </si>
  <si>
    <t>Распределение противогололедных материалов (пескосоляной смеси или фрикционных материалов мощность машин менее 210 л.с.) (Прочие дороги с асфальтобетонным покрытием)</t>
  </si>
  <si>
    <t>Итого в Мокроусовском районе:</t>
  </si>
  <si>
    <t>Распределение противогололедных материалов (пескосоляной смеси или фрикционных материалов) КДМ мощностью менее 210 л.с.) ( Прочие дороги с асфальтобетонным покрытием)</t>
  </si>
  <si>
    <t xml:space="preserve">Распределение противогололёдных материалов прочие асфальтобетонные дороги </t>
  </si>
  <si>
    <t xml:space="preserve">Зимнее содержание </t>
  </si>
  <si>
    <t>Распределение противогололедных материалов (пескосоляной смеси или фрикционных материалов) КДМ мощностью машин менее 210 л.с.) (Прочие дороги с асфальтобетонным покрытием )</t>
  </si>
  <si>
    <t>разметка вся</t>
  </si>
  <si>
    <t>электричество</t>
  </si>
  <si>
    <t>лето+ разметка+ пешеходники+ электричество</t>
  </si>
  <si>
    <t>зима+пешеходники+электричество</t>
  </si>
  <si>
    <t xml:space="preserve">зима+пешеходники </t>
  </si>
  <si>
    <t>лето+пешеходники</t>
  </si>
  <si>
    <t>лето+разметка</t>
  </si>
  <si>
    <t>зима+электр</t>
  </si>
  <si>
    <t>лето+разметка+электр</t>
  </si>
  <si>
    <t>лето+пешех+разметка+электр</t>
  </si>
  <si>
    <t>зима+пешех+элек</t>
  </si>
  <si>
    <t>Всего по Восточной зоне на 2022 год:</t>
  </si>
  <si>
    <t>Регулярная очистка от снега и льда, обработка гололедными материалами автобусных остановок, павильонов, площадок отдыха тротуаров</t>
  </si>
  <si>
    <t>Погрузка и транспортировка снега на ростояние до 3км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</si>
</sst>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  <numFmt numFmtId="166" formatCode="#,##0.000"/>
    <numFmt numFmtId="167" formatCode="#,##0.0000"/>
    <numFmt numFmtId="168" formatCode="0.0000"/>
    <numFmt numFmtId="169" formatCode="#,##0.00000"/>
    <numFmt numFmtId="170" formatCode="0.00000"/>
    <numFmt numFmtId="171" formatCode="0.0"/>
    <numFmt numFmtId="172" formatCode="_-* #,##0_р_._-;\-* #,##0_р_._-;_-* &quot;-&quot;??_р_._-;_-@_-"/>
    <numFmt numFmtId="173" formatCode="_-* #,##0.000_р_._-;\-* #,##0.000_р_._-;_-* &quot;-&quot;??_р_._-;_-@_-"/>
    <numFmt numFmtId="174" formatCode="#,##0.00_ ;\-#,##0.00\ "/>
    <numFmt numFmtId="175" formatCode="000000"/>
    <numFmt numFmtId="176" formatCode="_-* #,##0.0000_р_._-;\-* #,##0.0000_р_._-;_-* &quot;-&quot;??_р_._-;_-@_-"/>
    <numFmt numFmtId="177" formatCode="0.000000"/>
    <numFmt numFmtId="178" formatCode="_-* #,##0.00_-;\-* #,##0.00_-;_-* &quot;-&quot;??_-;_-@_-"/>
  </numFmts>
  <fonts count="3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i/>
      <sz val="10"/>
      <name val="Arial"/>
      <family val="2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6"/>
      <name val="Arial"/>
      <family val="2"/>
      <charset val="204"/>
    </font>
    <font>
      <i/>
      <sz val="6"/>
      <name val="Arial"/>
      <family val="2"/>
      <charset val="204"/>
    </font>
    <font>
      <b/>
      <sz val="6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57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1" applyNumberFormat="0" applyAlignment="0" applyProtection="0"/>
    <xf numFmtId="0" fontId="3" fillId="8" borderId="1" applyNumberFormat="0" applyAlignment="0" applyProtection="0"/>
    <xf numFmtId="0" fontId="4" fillId="9" borderId="2" applyNumberFormat="0" applyAlignment="0" applyProtection="0"/>
    <xf numFmtId="0" fontId="4" fillId="9" borderId="2" applyNumberFormat="0" applyAlignment="0" applyProtection="0"/>
    <xf numFmtId="0" fontId="5" fillId="9" borderId="1" applyNumberFormat="0" applyAlignment="0" applyProtection="0"/>
    <xf numFmtId="0" fontId="5" fillId="9" borderId="1" applyNumberFormat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10" borderId="7" applyNumberFormat="0" applyAlignment="0" applyProtection="0"/>
    <xf numFmtId="0" fontId="10" fillId="10" borderId="7" applyNumberFormat="0" applyAlignment="0" applyProtection="0"/>
    <xf numFmtId="0" fontId="16" fillId="0" borderId="0">
      <alignment horizontal="center" vertical="top" wrapText="1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22" fillId="0" borderId="0"/>
    <xf numFmtId="0" fontId="22" fillId="0" borderId="0"/>
    <xf numFmtId="0" fontId="16" fillId="0" borderId="0"/>
    <xf numFmtId="0" fontId="32" fillId="0" borderId="0"/>
    <xf numFmtId="0" fontId="13" fillId="0" borderId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3" borderId="8" applyNumberFormat="0" applyAlignment="0" applyProtection="0"/>
    <xf numFmtId="0" fontId="16" fillId="13" borderId="8" applyNumberForma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4" fontId="1" fillId="0" borderId="0" applyFill="0" applyBorder="0" applyAlignment="0" applyProtection="0"/>
    <xf numFmtId="164" fontId="16" fillId="0" borderId="0" applyFill="0" applyBorder="0" applyAlignment="0" applyProtection="0"/>
    <xf numFmtId="164" fontId="16" fillId="0" borderId="0" applyFill="0" applyBorder="0" applyAlignment="0" applyProtection="0"/>
    <xf numFmtId="178" fontId="27" fillId="0" borderId="0" applyFont="0" applyFill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</cellStyleXfs>
  <cellXfs count="587">
    <xf numFmtId="0" fontId="0" fillId="0" borderId="0" xfId="0"/>
    <xf numFmtId="0" fontId="20" fillId="0" borderId="0" xfId="0" applyFont="1" applyAlignment="1">
      <alignment vertical="top"/>
    </xf>
    <xf numFmtId="0" fontId="20" fillId="0" borderId="0" xfId="0" applyFont="1" applyAlignment="1">
      <alignment horizontal="center" vertical="top"/>
    </xf>
    <xf numFmtId="0" fontId="20" fillId="0" borderId="10" xfId="0" applyFont="1" applyBorder="1" applyAlignment="1">
      <alignment vertical="top"/>
    </xf>
    <xf numFmtId="4" fontId="20" fillId="0" borderId="0" xfId="0" applyNumberFormat="1" applyFont="1" applyAlignment="1">
      <alignment vertical="top"/>
    </xf>
    <xf numFmtId="4" fontId="0" fillId="15" borderId="0" xfId="0" applyNumberFormat="1" applyFont="1" applyFill="1" applyAlignment="1">
      <alignment vertical="top"/>
    </xf>
    <xf numFmtId="4" fontId="0" fillId="15" borderId="0" xfId="0" applyNumberFormat="1" applyFont="1" applyFill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0" fillId="0" borderId="0" xfId="0" applyFont="1" applyAlignment="1">
      <alignment vertical="center"/>
    </xf>
    <xf numFmtId="4" fontId="0" fillId="0" borderId="11" xfId="0" applyNumberFormat="1" applyFont="1" applyFill="1" applyBorder="1" applyAlignment="1">
      <alignment horizontal="center" vertical="center" wrapText="1"/>
    </xf>
    <xf numFmtId="174" fontId="21" fillId="0" borderId="11" xfId="51" applyNumberFormat="1" applyFont="1" applyFill="1" applyBorder="1" applyAlignment="1">
      <alignment horizontal="right" vertical="top"/>
    </xf>
    <xf numFmtId="164" fontId="21" fillId="0" borderId="11" xfId="51" applyFont="1" applyFill="1" applyBorder="1" applyAlignment="1">
      <alignment horizontal="right" vertical="top" wrapText="1"/>
    </xf>
    <xf numFmtId="0" fontId="20" fillId="0" borderId="10" xfId="0" applyFont="1" applyFill="1" applyBorder="1" applyAlignment="1">
      <alignment horizontal="center" vertical="top" wrapText="1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center" vertical="top" wrapText="1"/>
    </xf>
    <xf numFmtId="1" fontId="16" fillId="0" borderId="10" xfId="4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3" fontId="16" fillId="0" borderId="11" xfId="4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top"/>
    </xf>
    <xf numFmtId="4" fontId="20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top"/>
    </xf>
    <xf numFmtId="43" fontId="20" fillId="0" borderId="1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3" fontId="21" fillId="0" borderId="11" xfId="0" applyNumberFormat="1" applyFont="1" applyFill="1" applyBorder="1" applyAlignment="1">
      <alignment horizontal="center" vertical="top" wrapText="1"/>
    </xf>
    <xf numFmtId="43" fontId="20" fillId="0" borderId="0" xfId="0" applyNumberFormat="1" applyFont="1" applyFill="1" applyAlignment="1">
      <alignment vertical="center"/>
    </xf>
    <xf numFmtId="43" fontId="20" fillId="0" borderId="0" xfId="0" applyNumberFormat="1" applyFont="1" applyFill="1" applyAlignment="1">
      <alignment vertical="top"/>
    </xf>
    <xf numFmtId="0" fontId="20" fillId="0" borderId="10" xfId="0" applyFont="1" applyFill="1" applyBorder="1" applyAlignment="1">
      <alignment vertical="center"/>
    </xf>
    <xf numFmtId="0" fontId="21" fillId="0" borderId="12" xfId="40" applyFont="1" applyFill="1" applyBorder="1" applyAlignment="1">
      <alignment horizontal="left" vertical="center" wrapText="1"/>
    </xf>
    <xf numFmtId="0" fontId="21" fillId="0" borderId="10" xfId="40" applyFont="1" applyFill="1" applyBorder="1" applyAlignment="1">
      <alignment vertical="center" wrapText="1"/>
    </xf>
    <xf numFmtId="177" fontId="20" fillId="0" borderId="10" xfId="0" applyNumberFormat="1" applyFont="1" applyFill="1" applyBorder="1" applyAlignment="1">
      <alignment vertical="center"/>
    </xf>
    <xf numFmtId="168" fontId="20" fillId="0" borderId="10" xfId="0" applyNumberFormat="1" applyFont="1" applyFill="1" applyBorder="1" applyAlignment="1">
      <alignment vertical="center"/>
    </xf>
    <xf numFmtId="168" fontId="20" fillId="0" borderId="0" xfId="0" applyNumberFormat="1" applyFont="1" applyFill="1" applyAlignment="1">
      <alignment vertical="center"/>
    </xf>
    <xf numFmtId="2" fontId="20" fillId="0" borderId="0" xfId="0" applyNumberFormat="1" applyFont="1" applyFill="1" applyAlignment="1">
      <alignment vertical="center"/>
    </xf>
    <xf numFmtId="2" fontId="16" fillId="0" borderId="1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77" fontId="20" fillId="0" borderId="0" xfId="0" applyNumberFormat="1" applyFont="1" applyFill="1" applyBorder="1" applyAlignment="1">
      <alignment vertical="center"/>
    </xf>
    <xf numFmtId="169" fontId="16" fillId="0" borderId="10" xfId="40" applyNumberFormat="1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top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vertical="top"/>
    </xf>
    <xf numFmtId="4" fontId="20" fillId="0" borderId="0" xfId="0" applyNumberFormat="1" applyFont="1" applyFill="1" applyAlignment="1">
      <alignment vertical="top"/>
    </xf>
    <xf numFmtId="4" fontId="25" fillId="0" borderId="0" xfId="0" applyNumberFormat="1" applyFont="1" applyFill="1" applyAlignment="1">
      <alignment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/>
    <xf numFmtId="0" fontId="16" fillId="0" borderId="10" xfId="0" applyFont="1" applyFill="1" applyBorder="1" applyAlignment="1">
      <alignment horizontal="center" vertical="top"/>
    </xf>
    <xf numFmtId="0" fontId="16" fillId="0" borderId="10" xfId="0" applyFont="1" applyFill="1" applyBorder="1" applyAlignment="1">
      <alignment horizontal="right" vertical="top" wrapText="1"/>
    </xf>
    <xf numFmtId="0" fontId="16" fillId="0" borderId="10" xfId="0" quotePrefix="1" applyFont="1" applyFill="1" applyBorder="1" applyAlignment="1">
      <alignment horizontal="center" vertical="top" wrapText="1"/>
    </xf>
    <xf numFmtId="2" fontId="16" fillId="0" borderId="0" xfId="0" applyNumberFormat="1" applyFont="1" applyFill="1" applyAlignment="1">
      <alignment horizontal="center" vertical="center"/>
    </xf>
    <xf numFmtId="2" fontId="16" fillId="0" borderId="0" xfId="0" applyNumberFormat="1" applyFont="1" applyFill="1"/>
    <xf numFmtId="2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164" fontId="21" fillId="0" borderId="0" xfId="51" applyFont="1" applyFill="1" applyAlignment="1">
      <alignment vertical="top"/>
    </xf>
    <xf numFmtId="167" fontId="21" fillId="0" borderId="11" xfId="0" applyNumberFormat="1" applyFont="1" applyFill="1" applyBorder="1" applyAlignment="1">
      <alignment horizontal="center" vertical="top" wrapText="1"/>
    </xf>
    <xf numFmtId="164" fontId="16" fillId="0" borderId="10" xfId="51" applyFont="1" applyFill="1" applyBorder="1" applyAlignment="1">
      <alignment vertical="center"/>
    </xf>
    <xf numFmtId="0" fontId="20" fillId="0" borderId="0" xfId="0" applyFont="1" applyFill="1" applyBorder="1" applyAlignment="1">
      <alignment vertical="top"/>
    </xf>
    <xf numFmtId="4" fontId="16" fillId="0" borderId="0" xfId="0" applyNumberFormat="1" applyFont="1" applyFill="1" applyAlignment="1">
      <alignment vertical="center"/>
    </xf>
    <xf numFmtId="0" fontId="21" fillId="0" borderId="10" xfId="0" applyFont="1" applyFill="1" applyBorder="1" applyAlignment="1">
      <alignment vertical="center" wrapText="1"/>
    </xf>
    <xf numFmtId="164" fontId="16" fillId="0" borderId="0" xfId="51" applyFont="1" applyFill="1" applyAlignment="1">
      <alignment vertical="center"/>
    </xf>
    <xf numFmtId="4" fontId="16" fillId="0" borderId="11" xfId="0" applyNumberFormat="1" applyFont="1" applyFill="1" applyBorder="1" applyAlignment="1">
      <alignment vertical="top"/>
    </xf>
    <xf numFmtId="4" fontId="16" fillId="0" borderId="11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4" fontId="16" fillId="0" borderId="11" xfId="0" applyNumberFormat="1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left" vertical="top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164" fontId="16" fillId="0" borderId="0" xfId="51" applyFont="1" applyFill="1" applyAlignment="1">
      <alignment vertical="top"/>
    </xf>
    <xf numFmtId="0" fontId="21" fillId="0" borderId="10" xfId="40" applyFont="1" applyFill="1" applyBorder="1" applyAlignment="1">
      <alignment horizontal="left" vertical="center" wrapText="1"/>
    </xf>
    <xf numFmtId="171" fontId="16" fillId="0" borderId="0" xfId="0" applyNumberFormat="1" applyFont="1" applyFill="1" applyAlignment="1">
      <alignment horizontal="center" vertical="center"/>
    </xf>
    <xf numFmtId="4" fontId="0" fillId="0" borderId="11" xfId="0" applyNumberFormat="1" applyFont="1" applyFill="1" applyBorder="1" applyAlignment="1">
      <alignment vertical="top"/>
    </xf>
    <xf numFmtId="4" fontId="0" fillId="0" borderId="11" xfId="0" applyNumberFormat="1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 vertical="center"/>
    </xf>
    <xf numFmtId="3" fontId="0" fillId="0" borderId="11" xfId="40" applyNumberFormat="1" applyFont="1" applyFill="1" applyBorder="1" applyAlignment="1">
      <alignment horizontal="center" vertical="center"/>
    </xf>
    <xf numFmtId="0" fontId="20" fillId="16" borderId="0" xfId="0" applyFont="1" applyFill="1" applyAlignment="1">
      <alignment vertical="top"/>
    </xf>
    <xf numFmtId="4" fontId="0" fillId="16" borderId="11" xfId="0" applyNumberFormat="1" applyFont="1" applyFill="1" applyBorder="1" applyAlignment="1">
      <alignment horizontal="center" vertical="center" wrapText="1"/>
    </xf>
    <xf numFmtId="4" fontId="21" fillId="0" borderId="11" xfId="0" applyNumberFormat="1" applyFont="1" applyFill="1" applyBorder="1" applyAlignment="1">
      <alignment horizontal="center" vertical="top" wrapText="1"/>
    </xf>
    <xf numFmtId="164" fontId="1" fillId="0" borderId="10" xfId="51" applyFill="1" applyBorder="1" applyAlignment="1">
      <alignment vertical="top"/>
    </xf>
    <xf numFmtId="0" fontId="21" fillId="16" borderId="12" xfId="40" applyFont="1" applyFill="1" applyBorder="1" applyAlignment="1">
      <alignment horizontal="left" vertical="center" wrapText="1"/>
    </xf>
    <xf numFmtId="169" fontId="16" fillId="0" borderId="0" xfId="40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164" fontId="1" fillId="0" borderId="0" xfId="51" applyFill="1" applyAlignment="1">
      <alignment vertical="center"/>
    </xf>
    <xf numFmtId="164" fontId="1" fillId="17" borderId="10" xfId="51" applyFill="1" applyBorder="1" applyAlignment="1">
      <alignment horizontal="right" vertical="center"/>
    </xf>
    <xf numFmtId="164" fontId="1" fillId="17" borderId="10" xfId="51" applyFill="1" applyBorder="1" applyAlignment="1">
      <alignment horizontal="center" vertical="center"/>
    </xf>
    <xf numFmtId="164" fontId="1" fillId="17" borderId="10" xfId="51" applyFill="1" applyBorder="1" applyAlignment="1">
      <alignment vertical="top"/>
    </xf>
    <xf numFmtId="164" fontId="1" fillId="17" borderId="12" xfId="51" applyFill="1" applyBorder="1" applyAlignment="1">
      <alignment horizontal="left" vertical="center" wrapText="1"/>
    </xf>
    <xf numFmtId="164" fontId="1" fillId="18" borderId="0" xfId="5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13" xfId="40" applyFont="1" applyFill="1" applyBorder="1" applyAlignment="1">
      <alignment horizontal="left" vertical="center" wrapText="1"/>
    </xf>
    <xf numFmtId="4" fontId="0" fillId="18" borderId="11" xfId="0" applyNumberFormat="1" applyFont="1" applyFill="1" applyBorder="1" applyAlignment="1">
      <alignment horizontal="center" vertical="center" wrapText="1"/>
    </xf>
    <xf numFmtId="166" fontId="21" fillId="0" borderId="11" xfId="40" applyNumberFormat="1" applyFont="1" applyFill="1" applyBorder="1" applyAlignment="1">
      <alignment horizontal="center" vertical="top" wrapText="1"/>
    </xf>
    <xf numFmtId="2" fontId="0" fillId="16" borderId="10" xfId="0" applyNumberFormat="1" applyFont="1" applyFill="1" applyBorder="1" applyAlignment="1">
      <alignment horizontal="center" vertical="center"/>
    </xf>
    <xf numFmtId="4" fontId="21" fillId="16" borderId="11" xfId="0" applyNumberFormat="1" applyFont="1" applyFill="1" applyBorder="1" applyAlignment="1">
      <alignment horizontal="right" vertical="center" wrapText="1"/>
    </xf>
    <xf numFmtId="4" fontId="0" fillId="16" borderId="11" xfId="0" applyNumberFormat="1" applyFont="1" applyFill="1" applyBorder="1" applyAlignment="1">
      <alignment vertical="top"/>
    </xf>
    <xf numFmtId="167" fontId="21" fillId="16" borderId="11" xfId="0" applyNumberFormat="1" applyFont="1" applyFill="1" applyBorder="1" applyAlignment="1">
      <alignment horizontal="center" vertical="top" wrapText="1"/>
    </xf>
    <xf numFmtId="3" fontId="21" fillId="16" borderId="11" xfId="0" applyNumberFormat="1" applyFont="1" applyFill="1" applyBorder="1" applyAlignment="1">
      <alignment horizontal="center" vertical="top" wrapText="1"/>
    </xf>
    <xf numFmtId="174" fontId="21" fillId="16" borderId="11" xfId="51" applyNumberFormat="1" applyFont="1" applyFill="1" applyBorder="1" applyAlignment="1">
      <alignment horizontal="right" vertical="top"/>
    </xf>
    <xf numFmtId="0" fontId="21" fillId="16" borderId="11" xfId="40" applyNumberFormat="1" applyFont="1" applyFill="1" applyBorder="1" applyAlignment="1">
      <alignment horizontal="center" vertical="top" wrapText="1"/>
    </xf>
    <xf numFmtId="3" fontId="0" fillId="16" borderId="11" xfId="0" applyNumberFormat="1" applyFont="1" applyFill="1" applyBorder="1" applyAlignment="1">
      <alignment horizontal="center" vertical="top" wrapText="1"/>
    </xf>
    <xf numFmtId="4" fontId="0" fillId="16" borderId="0" xfId="0" applyNumberFormat="1" applyFont="1" applyFill="1" applyBorder="1" applyAlignment="1">
      <alignment horizontal="center" vertical="center" wrapText="1"/>
    </xf>
    <xf numFmtId="4" fontId="21" fillId="16" borderId="12" xfId="40" applyNumberFormat="1" applyFont="1" applyFill="1" applyBorder="1" applyAlignment="1">
      <alignment horizontal="left" vertical="center" wrapText="1"/>
    </xf>
    <xf numFmtId="4" fontId="0" fillId="16" borderId="10" xfId="0" applyNumberFormat="1" applyFont="1" applyFill="1" applyBorder="1" applyAlignment="1">
      <alignment horizontal="center" vertical="center" wrapText="1"/>
    </xf>
    <xf numFmtId="166" fontId="0" fillId="16" borderId="10" xfId="0" applyNumberFormat="1" applyFont="1" applyFill="1" applyBorder="1" applyAlignment="1">
      <alignment horizontal="center" vertical="center" wrapText="1"/>
    </xf>
    <xf numFmtId="174" fontId="21" fillId="16" borderId="0" xfId="51" applyNumberFormat="1" applyFont="1" applyFill="1" applyBorder="1" applyAlignment="1">
      <alignment horizontal="right" vertical="top"/>
    </xf>
    <xf numFmtId="164" fontId="21" fillId="16" borderId="11" xfId="51" applyFont="1" applyFill="1" applyBorder="1" applyAlignment="1">
      <alignment horizontal="right" vertical="top" wrapText="1"/>
    </xf>
    <xf numFmtId="4" fontId="21" fillId="16" borderId="0" xfId="0" applyNumberFormat="1" applyFont="1" applyFill="1" applyBorder="1" applyAlignment="1">
      <alignment horizontal="center" vertical="top"/>
    </xf>
    <xf numFmtId="164" fontId="1" fillId="16" borderId="11" xfId="51" applyFill="1" applyBorder="1" applyAlignment="1">
      <alignment horizontal="right" vertical="top"/>
    </xf>
    <xf numFmtId="164" fontId="1" fillId="0" borderId="11" xfId="51" applyFill="1" applyBorder="1" applyAlignment="1">
      <alignment horizontal="center" vertical="top" wrapText="1"/>
    </xf>
    <xf numFmtId="4" fontId="0" fillId="16" borderId="12" xfId="0" applyNumberFormat="1" applyFont="1" applyFill="1" applyBorder="1" applyAlignment="1">
      <alignment horizontal="center" vertical="center" wrapText="1"/>
    </xf>
    <xf numFmtId="166" fontId="0" fillId="16" borderId="12" xfId="0" applyNumberFormat="1" applyFont="1" applyFill="1" applyBorder="1" applyAlignment="1">
      <alignment horizontal="center" vertical="center" wrapText="1"/>
    </xf>
    <xf numFmtId="4" fontId="0" fillId="16" borderId="13" xfId="0" applyNumberFormat="1" applyFont="1" applyFill="1" applyBorder="1" applyAlignment="1">
      <alignment horizontal="center" vertical="center" wrapText="1"/>
    </xf>
    <xf numFmtId="167" fontId="21" fillId="16" borderId="13" xfId="0" applyNumberFormat="1" applyFont="1" applyFill="1" applyBorder="1" applyAlignment="1">
      <alignment horizontal="center" vertical="top" wrapText="1"/>
    </xf>
    <xf numFmtId="3" fontId="21" fillId="16" borderId="13" xfId="0" applyNumberFormat="1" applyFont="1" applyFill="1" applyBorder="1" applyAlignment="1">
      <alignment horizontal="center" vertical="top" wrapText="1"/>
    </xf>
    <xf numFmtId="4" fontId="21" fillId="16" borderId="11" xfId="0" applyNumberFormat="1" applyFont="1" applyFill="1" applyBorder="1" applyAlignment="1">
      <alignment horizontal="right" vertical="top" wrapText="1"/>
    </xf>
    <xf numFmtId="4" fontId="16" fillId="0" borderId="14" xfId="40" applyNumberFormat="1" applyFont="1" applyFill="1" applyBorder="1" applyAlignment="1">
      <alignment horizontal="center" vertical="top" wrapText="1"/>
    </xf>
    <xf numFmtId="4" fontId="16" fillId="0" borderId="15" xfId="40" applyNumberFormat="1" applyFont="1" applyFill="1" applyBorder="1" applyAlignment="1">
      <alignment horizontal="center" vertical="top" wrapText="1"/>
    </xf>
    <xf numFmtId="4" fontId="16" fillId="0" borderId="16" xfId="40" applyNumberFormat="1" applyFont="1" applyFill="1" applyBorder="1" applyAlignment="1">
      <alignment horizontal="center" vertical="top" wrapText="1"/>
    </xf>
    <xf numFmtId="4" fontId="16" fillId="0" borderId="0" xfId="0" applyNumberFormat="1" applyFont="1" applyFill="1" applyBorder="1" applyAlignment="1">
      <alignment horizontal="center" vertical="top" wrapText="1"/>
    </xf>
    <xf numFmtId="4" fontId="16" fillId="0" borderId="12" xfId="0" applyNumberFormat="1" applyFont="1" applyFill="1" applyBorder="1" applyAlignment="1">
      <alignment horizontal="center" vertical="top" wrapText="1"/>
    </xf>
    <xf numFmtId="4" fontId="16" fillId="0" borderId="13" xfId="0" applyNumberFormat="1" applyFont="1" applyFill="1" applyBorder="1" applyAlignment="1">
      <alignment horizontal="center" vertical="top" wrapText="1"/>
    </xf>
    <xf numFmtId="4" fontId="16" fillId="0" borderId="13" xfId="0" applyNumberFormat="1" applyFont="1" applyFill="1" applyBorder="1" applyAlignment="1">
      <alignment vertical="top"/>
    </xf>
    <xf numFmtId="167" fontId="21" fillId="0" borderId="13" xfId="0" applyNumberFormat="1" applyFont="1" applyFill="1" applyBorder="1" applyAlignment="1">
      <alignment horizontal="center" vertical="top" wrapText="1"/>
    </xf>
    <xf numFmtId="3" fontId="21" fillId="0" borderId="13" xfId="0" applyNumberFormat="1" applyFont="1" applyFill="1" applyBorder="1" applyAlignment="1">
      <alignment horizontal="center" vertical="top" wrapText="1"/>
    </xf>
    <xf numFmtId="4" fontId="21" fillId="0" borderId="0" xfId="0" applyNumberFormat="1" applyFont="1" applyFill="1" applyBorder="1" applyAlignment="1">
      <alignment vertical="top"/>
    </xf>
    <xf numFmtId="0" fontId="23" fillId="15" borderId="0" xfId="36" applyFont="1" applyFill="1" applyAlignment="1">
      <alignment horizontal="right" vertical="top"/>
    </xf>
    <xf numFmtId="0" fontId="21" fillId="15" borderId="0" xfId="0" applyFont="1" applyFill="1" applyAlignment="1">
      <alignment horizontal="center" vertical="top" wrapText="1"/>
    </xf>
    <xf numFmtId="4" fontId="16" fillId="15" borderId="14" xfId="40" applyNumberFormat="1" applyFont="1" applyFill="1" applyBorder="1" applyAlignment="1">
      <alignment horizontal="center" vertical="center" wrapText="1"/>
    </xf>
    <xf numFmtId="4" fontId="16" fillId="15" borderId="15" xfId="40" applyNumberFormat="1" applyFont="1" applyFill="1" applyBorder="1" applyAlignment="1">
      <alignment horizontal="center" vertical="center" wrapText="1"/>
    </xf>
    <xf numFmtId="4" fontId="16" fillId="16" borderId="11" xfId="0" applyNumberFormat="1" applyFont="1" applyFill="1" applyBorder="1" applyAlignment="1">
      <alignment horizontal="center" vertical="top" wrapText="1"/>
    </xf>
    <xf numFmtId="4" fontId="16" fillId="18" borderId="11" xfId="0" applyNumberFormat="1" applyFont="1" applyFill="1" applyBorder="1" applyAlignment="1">
      <alignment horizontal="center" vertical="top" wrapText="1"/>
    </xf>
    <xf numFmtId="4" fontId="0" fillId="18" borderId="11" xfId="0" applyNumberFormat="1" applyFont="1" applyFill="1" applyBorder="1" applyAlignment="1">
      <alignment horizontal="center" vertical="top" wrapText="1"/>
    </xf>
    <xf numFmtId="4" fontId="16" fillId="19" borderId="11" xfId="0" applyNumberFormat="1" applyFont="1" applyFill="1" applyBorder="1" applyAlignment="1">
      <alignment horizontal="center" vertical="top" wrapText="1"/>
    </xf>
    <xf numFmtId="164" fontId="1" fillId="20" borderId="11" xfId="51" applyFill="1" applyBorder="1" applyAlignment="1">
      <alignment horizontal="center" vertical="top" wrapText="1"/>
    </xf>
    <xf numFmtId="4" fontId="16" fillId="20" borderId="11" xfId="0" applyNumberFormat="1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vertical="center" wrapText="1"/>
    </xf>
    <xf numFmtId="4" fontId="16" fillId="16" borderId="0" xfId="0" applyNumberFormat="1" applyFont="1" applyFill="1" applyBorder="1" applyAlignment="1">
      <alignment horizontal="center" vertical="top" wrapText="1"/>
    </xf>
    <xf numFmtId="174" fontId="21" fillId="0" borderId="13" xfId="51" applyNumberFormat="1" applyFont="1" applyFill="1" applyBorder="1" applyAlignment="1">
      <alignment horizontal="right" vertical="top"/>
    </xf>
    <xf numFmtId="4" fontId="16" fillId="18" borderId="0" xfId="0" applyNumberFormat="1" applyFont="1" applyFill="1" applyBorder="1" applyAlignment="1">
      <alignment horizontal="center" vertical="top" wrapText="1"/>
    </xf>
    <xf numFmtId="4" fontId="16" fillId="15" borderId="16" xfId="40" applyNumberFormat="1" applyFont="1" applyFill="1" applyBorder="1" applyAlignment="1">
      <alignment horizontal="center" vertical="center" wrapText="1"/>
    </xf>
    <xf numFmtId="4" fontId="16" fillId="21" borderId="11" xfId="0" applyNumberFormat="1" applyFont="1" applyFill="1" applyBorder="1" applyAlignment="1">
      <alignment horizontal="center" vertical="top" wrapText="1"/>
    </xf>
    <xf numFmtId="4" fontId="0" fillId="0" borderId="11" xfId="0" applyNumberFormat="1" applyFont="1" applyFill="1" applyBorder="1" applyAlignment="1">
      <alignment horizontal="center" wrapText="1"/>
    </xf>
    <xf numFmtId="4" fontId="16" fillId="22" borderId="11" xfId="0" applyNumberFormat="1" applyFont="1" applyFill="1" applyBorder="1" applyAlignment="1">
      <alignment horizontal="center" vertical="top" wrapText="1"/>
    </xf>
    <xf numFmtId="4" fontId="16" fillId="23" borderId="11" xfId="0" applyNumberFormat="1" applyFont="1" applyFill="1" applyBorder="1" applyAlignment="1">
      <alignment horizontal="center" vertical="top" wrapText="1"/>
    </xf>
    <xf numFmtId="4" fontId="16" fillId="24" borderId="11" xfId="0" applyNumberFormat="1" applyFont="1" applyFill="1" applyBorder="1" applyAlignment="1">
      <alignment horizontal="center" vertical="top" wrapText="1"/>
    </xf>
    <xf numFmtId="4" fontId="16" fillId="25" borderId="11" xfId="0" applyNumberFormat="1" applyFont="1" applyFill="1" applyBorder="1" applyAlignment="1">
      <alignment horizontal="center" vertical="top" wrapText="1"/>
    </xf>
    <xf numFmtId="4" fontId="0" fillId="24" borderId="11" xfId="0" applyNumberFormat="1" applyFont="1" applyFill="1" applyBorder="1" applyAlignment="1">
      <alignment horizontal="center" wrapText="1"/>
    </xf>
    <xf numFmtId="164" fontId="1" fillId="20" borderId="10" xfId="51" applyFill="1" applyBorder="1" applyAlignment="1">
      <alignment vertical="top"/>
    </xf>
    <xf numFmtId="164" fontId="1" fillId="19" borderId="11" xfId="51" applyFill="1" applyBorder="1" applyAlignment="1">
      <alignment horizontal="center" vertical="top" wrapText="1"/>
    </xf>
    <xf numFmtId="4" fontId="20" fillId="20" borderId="10" xfId="0" applyNumberFormat="1" applyFont="1" applyFill="1" applyBorder="1" applyAlignment="1">
      <alignment vertical="top"/>
    </xf>
    <xf numFmtId="4" fontId="21" fillId="20" borderId="11" xfId="0" applyNumberFormat="1" applyFont="1" applyFill="1" applyBorder="1" applyAlignment="1">
      <alignment horizontal="center" vertical="top" wrapText="1"/>
    </xf>
    <xf numFmtId="4" fontId="21" fillId="21" borderId="11" xfId="0" applyNumberFormat="1" applyFont="1" applyFill="1" applyBorder="1" applyAlignment="1">
      <alignment horizontal="center" vertical="top" wrapText="1"/>
    </xf>
    <xf numFmtId="164" fontId="0" fillId="0" borderId="11" xfId="51" applyFont="1" applyFill="1" applyBorder="1" applyAlignment="1">
      <alignment horizontal="center" vertical="top" wrapText="1"/>
    </xf>
    <xf numFmtId="4" fontId="16" fillId="19" borderId="12" xfId="0" applyNumberFormat="1" applyFont="1" applyFill="1" applyBorder="1" applyAlignment="1">
      <alignment horizontal="center" vertical="top" wrapText="1"/>
    </xf>
    <xf numFmtId="164" fontId="1" fillId="22" borderId="11" xfId="51" applyFill="1" applyBorder="1" applyAlignment="1">
      <alignment horizontal="center" vertical="top" wrapText="1"/>
    </xf>
    <xf numFmtId="43" fontId="20" fillId="20" borderId="10" xfId="0" applyNumberFormat="1" applyFont="1" applyFill="1" applyBorder="1" applyAlignment="1">
      <alignment vertical="top"/>
    </xf>
    <xf numFmtId="166" fontId="0" fillId="16" borderId="11" xfId="0" applyNumberFormat="1" applyFont="1" applyFill="1" applyBorder="1" applyAlignment="1">
      <alignment horizontal="center" vertical="center" wrapText="1"/>
    </xf>
    <xf numFmtId="164" fontId="1" fillId="16" borderId="11" xfId="51" applyFill="1" applyBorder="1" applyAlignment="1">
      <alignment horizontal="center" vertical="center" wrapText="1"/>
    </xf>
    <xf numFmtId="164" fontId="1" fillId="23" borderId="12" xfId="51" applyFill="1" applyBorder="1" applyAlignment="1">
      <alignment horizontal="left" vertical="center" wrapText="1"/>
    </xf>
    <xf numFmtId="164" fontId="1" fillId="23" borderId="11" xfId="51" applyFill="1" applyBorder="1" applyAlignment="1">
      <alignment horizontal="center" vertical="top" wrapText="1"/>
    </xf>
    <xf numFmtId="4" fontId="16" fillId="22" borderId="13" xfId="0" applyNumberFormat="1" applyFont="1" applyFill="1" applyBorder="1" applyAlignment="1">
      <alignment horizontal="center" vertical="top" wrapText="1"/>
    </xf>
    <xf numFmtId="164" fontId="1" fillId="19" borderId="13" xfId="51" applyFill="1" applyBorder="1" applyAlignment="1">
      <alignment horizontal="center" vertical="top" wrapText="1"/>
    </xf>
    <xf numFmtId="164" fontId="1" fillId="20" borderId="13" xfId="51" applyFill="1" applyBorder="1" applyAlignment="1">
      <alignment horizontal="center" vertical="top" wrapText="1"/>
    </xf>
    <xf numFmtId="164" fontId="1" fillId="16" borderId="13" xfId="51" applyFill="1" applyBorder="1" applyAlignment="1">
      <alignment horizontal="center" vertical="center" wrapText="1"/>
    </xf>
    <xf numFmtId="164" fontId="1" fillId="23" borderId="13" xfId="5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164" fontId="21" fillId="0" borderId="10" xfId="51" applyFont="1" applyFill="1" applyBorder="1" applyAlignment="1">
      <alignment horizontal="left" vertical="center" wrapText="1"/>
    </xf>
    <xf numFmtId="167" fontId="21" fillId="0" borderId="10" xfId="0" applyNumberFormat="1" applyFont="1" applyFill="1" applyBorder="1" applyAlignment="1">
      <alignment horizontal="center" vertical="center" wrapText="1"/>
    </xf>
    <xf numFmtId="4" fontId="21" fillId="0" borderId="11" xfId="0" applyNumberFormat="1" applyFont="1" applyFill="1" applyBorder="1" applyAlignment="1">
      <alignment horizontal="center" vertical="center" wrapText="1"/>
    </xf>
    <xf numFmtId="3" fontId="21" fillId="0" borderId="11" xfId="0" applyNumberFormat="1" applyFont="1" applyFill="1" applyBorder="1" applyAlignment="1">
      <alignment horizontal="center" vertical="center" wrapText="1"/>
    </xf>
    <xf numFmtId="1" fontId="21" fillId="0" borderId="10" xfId="0" applyNumberFormat="1" applyFont="1" applyFill="1" applyBorder="1" applyAlignment="1">
      <alignment horizontal="center" vertical="center" wrapText="1"/>
    </xf>
    <xf numFmtId="167" fontId="21" fillId="0" borderId="11" xfId="0" applyNumberFormat="1" applyFont="1" applyFill="1" applyBorder="1" applyAlignment="1">
      <alignment horizontal="center" vertical="center" wrapText="1"/>
    </xf>
    <xf numFmtId="3" fontId="21" fillId="0" borderId="10" xfId="40" applyNumberFormat="1" applyFont="1" applyFill="1" applyBorder="1" applyAlignment="1">
      <alignment horizontal="left" vertical="center" wrapText="1"/>
    </xf>
    <xf numFmtId="164" fontId="21" fillId="0" borderId="10" xfId="51" applyFont="1" applyFill="1" applyBorder="1" applyAlignment="1">
      <alignment vertical="center" wrapText="1"/>
    </xf>
    <xf numFmtId="3" fontId="21" fillId="0" borderId="10" xfId="0" applyNumberFormat="1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1" xfId="0" applyNumberFormat="1" applyFont="1" applyFill="1" applyBorder="1" applyAlignment="1">
      <alignment horizontal="center" vertical="center" wrapText="1"/>
    </xf>
    <xf numFmtId="164" fontId="21" fillId="26" borderId="11" xfId="51" applyFont="1" applyFill="1" applyBorder="1" applyAlignment="1">
      <alignment horizontal="center" vertical="center" wrapText="1"/>
    </xf>
    <xf numFmtId="4" fontId="0" fillId="26" borderId="11" xfId="0" applyNumberFormat="1" applyFont="1" applyFill="1" applyBorder="1" applyAlignment="1">
      <alignment horizontal="center" vertical="center" wrapText="1"/>
    </xf>
    <xf numFmtId="4" fontId="21" fillId="26" borderId="11" xfId="0" applyNumberFormat="1" applyFont="1" applyFill="1" applyBorder="1" applyAlignment="1">
      <alignment horizontal="center" vertical="center"/>
    </xf>
    <xf numFmtId="169" fontId="16" fillId="0" borderId="10" xfId="4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4" fontId="21" fillId="26" borderId="11" xfId="0" applyNumberFormat="1" applyFont="1" applyFill="1" applyBorder="1" applyAlignment="1">
      <alignment horizontal="center" vertical="center" wrapText="1"/>
    </xf>
    <xf numFmtId="168" fontId="20" fillId="0" borderId="0" xfId="0" applyNumberFormat="1" applyFont="1" applyFill="1" applyAlignment="1">
      <alignment horizontal="center" vertical="center"/>
    </xf>
    <xf numFmtId="2" fontId="20" fillId="0" borderId="0" xfId="0" applyNumberFormat="1" applyFont="1" applyFill="1" applyAlignment="1">
      <alignment horizontal="center" vertical="center"/>
    </xf>
    <xf numFmtId="174" fontId="21" fillId="0" borderId="0" xfId="51" applyNumberFormat="1" applyFont="1" applyFill="1" applyBorder="1" applyAlignment="1">
      <alignment horizontal="center" vertical="center"/>
    </xf>
    <xf numFmtId="164" fontId="21" fillId="0" borderId="10" xfId="51" applyFont="1" applyFill="1" applyBorder="1" applyAlignment="1">
      <alignment horizontal="center" vertical="center" wrapText="1"/>
    </xf>
    <xf numFmtId="4" fontId="21" fillId="26" borderId="11" xfId="0" applyNumberFormat="1" applyFont="1" applyFill="1" applyBorder="1" applyAlignment="1">
      <alignment horizontal="center" vertical="top" wrapText="1"/>
    </xf>
    <xf numFmtId="0" fontId="20" fillId="0" borderId="10" xfId="0" applyFont="1" applyFill="1" applyBorder="1" applyAlignment="1">
      <alignment horizontal="center" vertical="center" wrapText="1"/>
    </xf>
    <xf numFmtId="4" fontId="20" fillId="0" borderId="0" xfId="0" applyNumberFormat="1" applyFont="1" applyFill="1" applyAlignment="1">
      <alignment horizontal="center" vertical="center"/>
    </xf>
    <xf numFmtId="4" fontId="21" fillId="26" borderId="13" xfId="0" applyNumberFormat="1" applyFont="1" applyFill="1" applyBorder="1" applyAlignment="1">
      <alignment horizontal="center" vertical="center"/>
    </xf>
    <xf numFmtId="0" fontId="20" fillId="26" borderId="10" xfId="0" applyFont="1" applyFill="1" applyBorder="1" applyAlignment="1">
      <alignment vertical="top"/>
    </xf>
    <xf numFmtId="0" fontId="25" fillId="26" borderId="10" xfId="0" applyFont="1" applyFill="1" applyBorder="1" applyAlignment="1">
      <alignment horizontal="center" vertical="top"/>
    </xf>
    <xf numFmtId="4" fontId="21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4" fontId="0" fillId="0" borderId="0" xfId="0" applyNumberFormat="1" applyFont="1" applyFill="1" applyAlignment="1">
      <alignment horizontal="center" vertical="center"/>
    </xf>
    <xf numFmtId="168" fontId="0" fillId="0" borderId="0" xfId="0" applyNumberFormat="1" applyFont="1" applyFill="1" applyAlignment="1">
      <alignment horizontal="center" vertical="center"/>
    </xf>
    <xf numFmtId="0" fontId="24" fillId="0" borderId="10" xfId="40" applyNumberFormat="1" applyFont="1" applyFill="1" applyBorder="1" applyAlignment="1">
      <alignment horizontal="center" vertical="center" wrapText="1"/>
    </xf>
    <xf numFmtId="165" fontId="20" fillId="0" borderId="0" xfId="0" applyNumberFormat="1" applyFont="1" applyFill="1" applyAlignment="1">
      <alignment horizontal="center" vertical="center"/>
    </xf>
    <xf numFmtId="0" fontId="21" fillId="0" borderId="10" xfId="40" applyNumberFormat="1" applyFont="1" applyFill="1" applyBorder="1" applyAlignment="1">
      <alignment horizontal="center" vertical="center" wrapText="1"/>
    </xf>
    <xf numFmtId="2" fontId="21" fillId="0" borderId="10" xfId="40" applyNumberFormat="1" applyFont="1" applyFill="1" applyBorder="1" applyAlignment="1">
      <alignment vertical="center" wrapText="1"/>
    </xf>
    <xf numFmtId="0" fontId="21" fillId="0" borderId="11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top"/>
    </xf>
    <xf numFmtId="0" fontId="21" fillId="0" borderId="13" xfId="0" applyFont="1" applyFill="1" applyBorder="1" applyAlignment="1">
      <alignment horizontal="center" vertical="center"/>
    </xf>
    <xf numFmtId="43" fontId="21" fillId="0" borderId="13" xfId="0" applyNumberFormat="1" applyFont="1" applyFill="1" applyBorder="1" applyAlignment="1">
      <alignment horizontal="center" vertical="center"/>
    </xf>
    <xf numFmtId="3" fontId="21" fillId="0" borderId="12" xfId="40" applyNumberFormat="1" applyFont="1" applyFill="1" applyBorder="1" applyAlignment="1">
      <alignment horizontal="left" vertical="center" wrapText="1"/>
    </xf>
    <xf numFmtId="164" fontId="21" fillId="0" borderId="11" xfId="51" applyFont="1" applyFill="1" applyBorder="1" applyAlignment="1">
      <alignment horizontal="left" vertical="center" wrapText="1"/>
    </xf>
    <xf numFmtId="3" fontId="21" fillId="0" borderId="16" xfId="40" applyNumberFormat="1" applyFont="1" applyFill="1" applyBorder="1" applyAlignment="1">
      <alignment horizontal="left" vertical="center" wrapText="1"/>
    </xf>
    <xf numFmtId="164" fontId="21" fillId="0" borderId="13" xfId="51" applyFont="1" applyFill="1" applyBorder="1" applyAlignment="1">
      <alignment horizontal="center" vertical="center" wrapText="1"/>
    </xf>
    <xf numFmtId="1" fontId="20" fillId="0" borderId="0" xfId="0" applyNumberFormat="1" applyFont="1" applyFill="1" applyAlignment="1">
      <alignment horizontal="center" vertical="center"/>
    </xf>
    <xf numFmtId="0" fontId="21" fillId="0" borderId="13" xfId="40" applyFont="1" applyFill="1" applyBorder="1" applyAlignment="1">
      <alignment horizontal="center" vertical="top" wrapText="1"/>
    </xf>
    <xf numFmtId="3" fontId="21" fillId="0" borderId="12" xfId="40" applyNumberFormat="1" applyFont="1" applyFill="1" applyBorder="1" applyAlignment="1">
      <alignment horizontal="left" vertical="top" wrapText="1"/>
    </xf>
    <xf numFmtId="0" fontId="21" fillId="0" borderId="10" xfId="0" applyFont="1" applyFill="1" applyBorder="1" applyAlignment="1">
      <alignment horizontal="left" vertical="top" wrapText="1"/>
    </xf>
    <xf numFmtId="0" fontId="28" fillId="0" borderId="10" xfId="0" applyFont="1" applyFill="1" applyBorder="1" applyAlignment="1">
      <alignment horizontal="left" vertical="top" wrapText="1"/>
    </xf>
    <xf numFmtId="0" fontId="21" fillId="0" borderId="10" xfId="36" applyFont="1" applyFill="1" applyBorder="1" applyAlignment="1">
      <alignment horizontal="left" vertical="top" wrapText="1"/>
    </xf>
    <xf numFmtId="14" fontId="28" fillId="0" borderId="10" xfId="36" applyNumberFormat="1" applyFont="1" applyFill="1" applyBorder="1" applyAlignment="1">
      <alignment horizontal="left" vertical="top" wrapText="1"/>
    </xf>
    <xf numFmtId="167" fontId="21" fillId="0" borderId="10" xfId="0" applyNumberFormat="1" applyFont="1" applyFill="1" applyBorder="1" applyAlignment="1">
      <alignment horizontal="center" vertical="top" wrapText="1"/>
    </xf>
    <xf numFmtId="2" fontId="21" fillId="0" borderId="10" xfId="40" applyNumberFormat="1" applyFont="1" applyFill="1" applyBorder="1" applyAlignment="1">
      <alignment horizontal="left" vertical="top" wrapText="1"/>
    </xf>
    <xf numFmtId="2" fontId="21" fillId="0" borderId="11" xfId="40" applyNumberFormat="1" applyFont="1" applyFill="1" applyBorder="1" applyAlignment="1">
      <alignment horizontal="left" vertical="top" wrapText="1"/>
    </xf>
    <xf numFmtId="2" fontId="21" fillId="0" borderId="11" xfId="40" applyNumberFormat="1" applyFont="1" applyFill="1" applyBorder="1" applyAlignment="1">
      <alignment horizontal="center" vertical="top" wrapText="1"/>
    </xf>
    <xf numFmtId="2" fontId="21" fillId="0" borderId="10" xfId="40" applyNumberFormat="1" applyFont="1" applyFill="1" applyBorder="1" applyAlignment="1">
      <alignment horizontal="center" vertical="top" wrapText="1"/>
    </xf>
    <xf numFmtId="0" fontId="21" fillId="0" borderId="10" xfId="40" applyFont="1" applyFill="1" applyBorder="1" applyAlignment="1">
      <alignment horizontal="left" vertical="top" wrapText="1"/>
    </xf>
    <xf numFmtId="0" fontId="21" fillId="0" borderId="10" xfId="40" applyFont="1" applyFill="1" applyBorder="1" applyAlignment="1">
      <alignment horizontal="center" vertical="top" wrapText="1"/>
    </xf>
    <xf numFmtId="164" fontId="21" fillId="0" borderId="10" xfId="51" applyFont="1" applyFill="1" applyBorder="1" applyAlignment="1">
      <alignment horizontal="left" vertical="top" wrapText="1"/>
    </xf>
    <xf numFmtId="0" fontId="21" fillId="0" borderId="10" xfId="0" applyFont="1" applyFill="1" applyBorder="1" applyAlignment="1">
      <alignment horizontal="center" vertical="top" wrapText="1"/>
    </xf>
    <xf numFmtId="1" fontId="21" fillId="0" borderId="10" xfId="40" applyNumberFormat="1" applyFont="1" applyFill="1" applyBorder="1" applyAlignment="1">
      <alignment horizontal="center" vertical="top"/>
    </xf>
    <xf numFmtId="0" fontId="21" fillId="0" borderId="12" xfId="40" applyNumberFormat="1" applyFont="1" applyFill="1" applyBorder="1" applyAlignment="1">
      <alignment horizontal="left" vertical="top"/>
    </xf>
    <xf numFmtId="164" fontId="21" fillId="0" borderId="11" xfId="51" applyFont="1" applyFill="1" applyBorder="1" applyAlignment="1">
      <alignment horizontal="center" vertical="top" wrapText="1"/>
    </xf>
    <xf numFmtId="0" fontId="21" fillId="0" borderId="10" xfId="40" applyNumberFormat="1" applyFont="1" applyFill="1" applyBorder="1" applyAlignment="1">
      <alignment horizontal="left" vertical="top" wrapText="1"/>
    </xf>
    <xf numFmtId="14" fontId="28" fillId="0" borderId="10" xfId="38" applyNumberFormat="1" applyFont="1" applyFill="1" applyBorder="1" applyAlignment="1">
      <alignment horizontal="left" vertical="top" wrapText="1"/>
    </xf>
    <xf numFmtId="3" fontId="21" fillId="0" borderId="10" xfId="40" applyNumberFormat="1" applyFont="1" applyFill="1" applyBorder="1" applyAlignment="1">
      <alignment horizontal="left" vertical="top" wrapText="1"/>
    </xf>
    <xf numFmtId="3" fontId="21" fillId="0" borderId="10" xfId="40" applyNumberFormat="1" applyFont="1" applyFill="1" applyBorder="1" applyAlignment="1">
      <alignment horizontal="center" vertical="top" wrapText="1"/>
    </xf>
    <xf numFmtId="3" fontId="21" fillId="0" borderId="10" xfId="0" applyNumberFormat="1" applyFont="1" applyFill="1" applyBorder="1" applyAlignment="1">
      <alignment horizontal="center" vertical="top"/>
    </xf>
    <xf numFmtId="3" fontId="21" fillId="0" borderId="10" xfId="40" applyNumberFormat="1" applyFont="1" applyFill="1" applyBorder="1" applyAlignment="1">
      <alignment horizontal="center" vertical="top"/>
    </xf>
    <xf numFmtId="0" fontId="21" fillId="0" borderId="10" xfId="40" applyNumberFormat="1" applyFont="1" applyFill="1" applyBorder="1" applyAlignment="1">
      <alignment horizontal="center" vertical="top"/>
    </xf>
    <xf numFmtId="0" fontId="21" fillId="0" borderId="11" xfId="40" applyFont="1" applyFill="1" applyBorder="1" applyAlignment="1">
      <alignment horizontal="left" vertical="top" wrapText="1"/>
    </xf>
    <xf numFmtId="164" fontId="21" fillId="0" borderId="10" xfId="51" applyFont="1" applyFill="1" applyBorder="1" applyAlignment="1">
      <alignment horizontal="center" vertical="top" wrapText="1"/>
    </xf>
    <xf numFmtId="2" fontId="21" fillId="0" borderId="12" xfId="40" applyNumberFormat="1" applyFont="1" applyFill="1" applyBorder="1" applyAlignment="1">
      <alignment horizontal="center" vertical="top" wrapText="1"/>
    </xf>
    <xf numFmtId="175" fontId="21" fillId="0" borderId="10" xfId="0" applyNumberFormat="1" applyFont="1" applyFill="1" applyBorder="1" applyAlignment="1">
      <alignment horizontal="left" vertical="top" wrapText="1"/>
    </xf>
    <xf numFmtId="2" fontId="21" fillId="0" borderId="10" xfId="40" applyNumberFormat="1" applyFont="1" applyFill="1" applyBorder="1" applyAlignment="1">
      <alignment vertical="top" wrapText="1"/>
    </xf>
    <xf numFmtId="0" fontId="21" fillId="0" borderId="10" xfId="40" applyFont="1" applyFill="1" applyBorder="1" applyAlignment="1">
      <alignment vertical="top" wrapText="1"/>
    </xf>
    <xf numFmtId="3" fontId="21" fillId="0" borderId="10" xfId="40" applyNumberFormat="1" applyFont="1" applyFill="1" applyBorder="1" applyAlignment="1">
      <alignment vertical="top" wrapText="1"/>
    </xf>
    <xf numFmtId="0" fontId="21" fillId="0" borderId="0" xfId="0" applyFont="1" applyFill="1" applyAlignment="1">
      <alignment horizontal="center" vertical="top" wrapText="1"/>
    </xf>
    <xf numFmtId="4" fontId="0" fillId="0" borderId="10" xfId="0" applyNumberFormat="1" applyFont="1" applyFill="1" applyBorder="1" applyAlignment="1">
      <alignment horizontal="center" vertical="top" wrapText="1"/>
    </xf>
    <xf numFmtId="174" fontId="21" fillId="0" borderId="10" xfId="51" applyNumberFormat="1" applyFont="1" applyFill="1" applyBorder="1" applyAlignment="1">
      <alignment horizontal="center" vertical="center"/>
    </xf>
    <xf numFmtId="4" fontId="21" fillId="16" borderId="0" xfId="0" applyNumberFormat="1" applyFont="1" applyFill="1" applyBorder="1" applyAlignment="1">
      <alignment horizontal="center" vertical="top" wrapText="1"/>
    </xf>
    <xf numFmtId="3" fontId="21" fillId="0" borderId="13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top" wrapText="1"/>
    </xf>
    <xf numFmtId="172" fontId="21" fillId="0" borderId="10" xfId="51" applyNumberFormat="1" applyFont="1" applyFill="1" applyBorder="1" applyAlignment="1">
      <alignment horizontal="center" vertical="center" wrapText="1"/>
    </xf>
    <xf numFmtId="4" fontId="16" fillId="19" borderId="13" xfId="0" applyNumberFormat="1" applyFont="1" applyFill="1" applyBorder="1" applyAlignment="1">
      <alignment horizontal="center" vertical="top" wrapText="1"/>
    </xf>
    <xf numFmtId="0" fontId="0" fillId="0" borderId="10" xfId="40" applyFont="1" applyFill="1" applyBorder="1" applyAlignment="1">
      <alignment horizontal="left" vertical="top" wrapText="1"/>
    </xf>
    <xf numFmtId="164" fontId="21" fillId="0" borderId="13" xfId="51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 wrapText="1"/>
    </xf>
    <xf numFmtId="4" fontId="21" fillId="0" borderId="10" xfId="0" applyNumberFormat="1" applyFont="1" applyFill="1" applyBorder="1" applyAlignment="1">
      <alignment horizontal="center" vertical="top" wrapText="1"/>
    </xf>
    <xf numFmtId="3" fontId="21" fillId="0" borderId="10" xfId="40" applyNumberFormat="1" applyFont="1" applyFill="1" applyBorder="1" applyAlignment="1">
      <alignment horizontal="left" vertical="top"/>
    </xf>
    <xf numFmtId="166" fontId="21" fillId="0" borderId="10" xfId="0" applyNumberFormat="1" applyFont="1" applyFill="1" applyBorder="1" applyAlignment="1">
      <alignment horizontal="center" vertical="top" wrapText="1"/>
    </xf>
    <xf numFmtId="4" fontId="21" fillId="0" borderId="10" xfId="0" applyNumberFormat="1" applyFont="1" applyFill="1" applyBorder="1" applyAlignment="1">
      <alignment horizontal="center" vertical="top"/>
    </xf>
    <xf numFmtId="4" fontId="21" fillId="0" borderId="11" xfId="0" applyNumberFormat="1" applyFont="1" applyFill="1" applyBorder="1" applyAlignment="1">
      <alignment horizontal="center" vertical="top"/>
    </xf>
    <xf numFmtId="174" fontId="21" fillId="0" borderId="11" xfId="51" applyNumberFormat="1" applyFont="1" applyFill="1" applyBorder="1" applyAlignment="1">
      <alignment horizontal="center" vertical="top"/>
    </xf>
    <xf numFmtId="2" fontId="21" fillId="0" borderId="10" xfId="40" applyNumberFormat="1" applyFont="1" applyFill="1" applyBorder="1" applyAlignment="1">
      <alignment horizontal="center" vertical="top"/>
    </xf>
    <xf numFmtId="4" fontId="21" fillId="0" borderId="10" xfId="40" applyNumberFormat="1" applyFont="1" applyFill="1" applyBorder="1" applyAlignment="1">
      <alignment horizontal="center" vertical="top"/>
    </xf>
    <xf numFmtId="174" fontId="21" fillId="0" borderId="10" xfId="51" applyNumberFormat="1" applyFont="1" applyFill="1" applyBorder="1" applyAlignment="1">
      <alignment horizontal="center" vertical="top"/>
    </xf>
    <xf numFmtId="3" fontId="21" fillId="0" borderId="12" xfId="40" applyNumberFormat="1" applyFont="1" applyFill="1" applyBorder="1" applyAlignment="1">
      <alignment vertical="center" wrapText="1"/>
    </xf>
    <xf numFmtId="3" fontId="21" fillId="0" borderId="10" xfId="40" applyNumberFormat="1" applyFont="1" applyFill="1" applyBorder="1" applyAlignment="1">
      <alignment vertical="center" wrapText="1"/>
    </xf>
    <xf numFmtId="3" fontId="21" fillId="0" borderId="10" xfId="40" applyNumberFormat="1" applyFont="1" applyFill="1" applyBorder="1" applyAlignment="1">
      <alignment horizontal="center" vertical="center"/>
    </xf>
    <xf numFmtId="3" fontId="21" fillId="0" borderId="10" xfId="0" applyNumberFormat="1" applyFont="1" applyFill="1" applyBorder="1" applyAlignment="1">
      <alignment horizontal="center" vertical="center"/>
    </xf>
    <xf numFmtId="43" fontId="21" fillId="0" borderId="10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top"/>
    </xf>
    <xf numFmtId="0" fontId="29" fillId="0" borderId="0" xfId="0" applyFont="1" applyFill="1" applyAlignment="1">
      <alignment vertical="center"/>
    </xf>
    <xf numFmtId="165" fontId="29" fillId="0" borderId="0" xfId="0" applyNumberFormat="1" applyFont="1" applyFill="1" applyAlignment="1">
      <alignment horizontal="center" vertical="center"/>
    </xf>
    <xf numFmtId="1" fontId="29" fillId="0" borderId="0" xfId="0" applyNumberFormat="1" applyFont="1" applyFill="1" applyAlignment="1">
      <alignment horizontal="center" vertical="center"/>
    </xf>
    <xf numFmtId="4" fontId="29" fillId="0" borderId="0" xfId="0" applyNumberFormat="1" applyFont="1" applyFill="1" applyAlignment="1">
      <alignment horizontal="center" vertical="center"/>
    </xf>
    <xf numFmtId="168" fontId="29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top"/>
    </xf>
    <xf numFmtId="1" fontId="0" fillId="0" borderId="10" xfId="40" applyNumberFormat="1" applyFont="1" applyFill="1" applyBorder="1" applyAlignment="1">
      <alignment horizontal="center" vertical="center" wrapText="1"/>
    </xf>
    <xf numFmtId="1" fontId="0" fillId="0" borderId="10" xfId="40" applyNumberFormat="1" applyFont="1" applyFill="1" applyBorder="1" applyAlignment="1">
      <alignment horizontal="center" vertical="center"/>
    </xf>
    <xf numFmtId="3" fontId="0" fillId="0" borderId="10" xfId="40" applyNumberFormat="1" applyFont="1" applyFill="1" applyBorder="1" applyAlignment="1">
      <alignment horizontal="center" vertical="center"/>
    </xf>
    <xf numFmtId="3" fontId="0" fillId="0" borderId="10" xfId="40" applyNumberFormat="1" applyFont="1" applyFill="1" applyBorder="1" applyAlignment="1">
      <alignment horizontal="left" vertical="top"/>
    </xf>
    <xf numFmtId="3" fontId="0" fillId="0" borderId="10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4" fontId="0" fillId="0" borderId="10" xfId="0" applyNumberFormat="1" applyFont="1" applyFill="1" applyBorder="1" applyAlignment="1">
      <alignment horizontal="center" vertical="center"/>
    </xf>
    <xf numFmtId="164" fontId="0" fillId="0" borderId="10" xfId="5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2" xfId="40" applyNumberFormat="1" applyFont="1" applyFill="1" applyBorder="1" applyAlignment="1">
      <alignment horizontal="left" vertical="top" wrapText="1"/>
    </xf>
    <xf numFmtId="2" fontId="0" fillId="0" borderId="10" xfId="40" applyNumberFormat="1" applyFont="1" applyFill="1" applyBorder="1" applyAlignment="1">
      <alignment horizontal="center" vertical="center" wrapText="1"/>
    </xf>
    <xf numFmtId="4" fontId="0" fillId="0" borderId="10" xfId="40" applyNumberFormat="1" applyFont="1" applyFill="1" applyBorder="1" applyAlignment="1">
      <alignment horizontal="center" vertical="center" wrapText="1"/>
    </xf>
    <xf numFmtId="1" fontId="0" fillId="0" borderId="10" xfId="40" applyNumberFormat="1" applyFont="1" applyFill="1" applyBorder="1" applyAlignment="1">
      <alignment horizontal="center" vertical="top"/>
    </xf>
    <xf numFmtId="0" fontId="0" fillId="0" borderId="10" xfId="39" applyFont="1" applyFill="1" applyBorder="1" applyAlignment="1">
      <alignment horizontal="left" vertical="top" wrapText="1"/>
    </xf>
    <xf numFmtId="0" fontId="0" fillId="0" borderId="10" xfId="39" applyFont="1" applyFill="1" applyBorder="1" applyAlignment="1">
      <alignment horizontal="center" vertical="top" wrapText="1"/>
    </xf>
    <xf numFmtId="0" fontId="0" fillId="0" borderId="10" xfId="36" applyFont="1" applyFill="1" applyBorder="1" applyAlignment="1">
      <alignment horizontal="center" vertical="top" wrapText="1"/>
    </xf>
    <xf numFmtId="4" fontId="0" fillId="0" borderId="10" xfId="40" applyNumberFormat="1" applyFont="1" applyFill="1" applyBorder="1" applyAlignment="1">
      <alignment horizontal="center" vertical="top" wrapText="1"/>
    </xf>
    <xf numFmtId="164" fontId="0" fillId="0" borderId="10" xfId="51" applyFont="1" applyFill="1" applyBorder="1" applyAlignment="1">
      <alignment horizontal="center" vertical="top" wrapText="1"/>
    </xf>
    <xf numFmtId="168" fontId="0" fillId="0" borderId="10" xfId="0" applyNumberFormat="1" applyFont="1" applyFill="1" applyBorder="1" applyAlignment="1">
      <alignment horizontal="center" vertical="top" wrapText="1"/>
    </xf>
    <xf numFmtId="43" fontId="0" fillId="0" borderId="10" xfId="0" applyNumberFormat="1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center" vertical="top"/>
    </xf>
    <xf numFmtId="2" fontId="0" fillId="0" borderId="10" xfId="40" applyNumberFormat="1" applyFont="1" applyFill="1" applyBorder="1" applyAlignment="1">
      <alignment horizontal="left" vertical="top" wrapText="1"/>
    </xf>
    <xf numFmtId="0" fontId="0" fillId="0" borderId="10" xfId="38" applyFont="1" applyFill="1" applyBorder="1" applyAlignment="1">
      <alignment horizontal="center" vertical="top" wrapText="1"/>
    </xf>
    <xf numFmtId="43" fontId="0" fillId="0" borderId="10" xfId="0" applyNumberFormat="1" applyFont="1" applyFill="1" applyBorder="1" applyAlignment="1">
      <alignment horizontal="center" vertical="top"/>
    </xf>
    <xf numFmtId="0" fontId="0" fillId="0" borderId="10" xfId="40" applyNumberFormat="1" applyFont="1" applyFill="1" applyBorder="1" applyAlignment="1">
      <alignment horizontal="left" vertical="top" wrapText="1"/>
    </xf>
    <xf numFmtId="1" fontId="0" fillId="0" borderId="10" xfId="0" applyNumberFormat="1" applyFont="1" applyFill="1" applyBorder="1" applyAlignment="1">
      <alignment horizontal="center" vertical="top" wrapText="1"/>
    </xf>
    <xf numFmtId="164" fontId="0" fillId="0" borderId="10" xfId="51" applyFont="1" applyFill="1" applyBorder="1" applyAlignment="1">
      <alignment horizontal="center" vertical="top"/>
    </xf>
    <xf numFmtId="49" fontId="0" fillId="0" borderId="10" xfId="0" applyNumberFormat="1" applyFont="1" applyFill="1" applyBorder="1" applyAlignment="1">
      <alignment horizontal="left" vertical="top" wrapText="1"/>
    </xf>
    <xf numFmtId="1" fontId="0" fillId="0" borderId="10" xfId="36" applyNumberFormat="1" applyFont="1" applyFill="1" applyBorder="1" applyAlignment="1">
      <alignment horizontal="center" vertical="top" wrapText="1"/>
    </xf>
    <xf numFmtId="2" fontId="0" fillId="0" borderId="10" xfId="36" applyNumberFormat="1" applyFont="1" applyFill="1" applyBorder="1" applyAlignment="1">
      <alignment horizontal="center" vertical="top" wrapText="1"/>
    </xf>
    <xf numFmtId="0" fontId="0" fillId="0" borderId="10" xfId="36" applyFont="1" applyFill="1" applyBorder="1" applyAlignment="1">
      <alignment horizontal="left" vertical="top" wrapText="1"/>
    </xf>
    <xf numFmtId="0" fontId="0" fillId="0" borderId="10" xfId="36" applyFont="1" applyFill="1" applyBorder="1" applyAlignment="1">
      <alignment horizontal="center" vertical="top"/>
    </xf>
    <xf numFmtId="0" fontId="0" fillId="0" borderId="10" xfId="0" applyNumberFormat="1" applyFont="1" applyFill="1" applyBorder="1" applyAlignment="1">
      <alignment horizontal="left" vertical="top" wrapText="1"/>
    </xf>
    <xf numFmtId="164" fontId="0" fillId="0" borderId="10" xfId="0" applyNumberFormat="1" applyFont="1" applyFill="1" applyBorder="1" applyAlignment="1">
      <alignment horizontal="center" vertical="top" wrapText="1"/>
    </xf>
    <xf numFmtId="0" fontId="0" fillId="0" borderId="12" xfId="0" applyNumberFormat="1" applyFont="1" applyFill="1" applyBorder="1" applyAlignment="1">
      <alignment horizontal="left" vertical="top" wrapText="1"/>
    </xf>
    <xf numFmtId="2" fontId="0" fillId="0" borderId="10" xfId="40" applyNumberFormat="1" applyFont="1" applyFill="1" applyBorder="1" applyAlignment="1">
      <alignment horizontal="center" vertical="top" wrapText="1"/>
    </xf>
    <xf numFmtId="1" fontId="0" fillId="0" borderId="10" xfId="40" applyNumberFormat="1" applyFont="1" applyFill="1" applyBorder="1" applyAlignment="1">
      <alignment horizontal="center" vertical="top" wrapText="1"/>
    </xf>
    <xf numFmtId="167" fontId="0" fillId="0" borderId="10" xfId="0" applyNumberFormat="1" applyFont="1" applyFill="1" applyBorder="1" applyAlignment="1">
      <alignment horizontal="center" vertical="top" wrapText="1"/>
    </xf>
    <xf numFmtId="0" fontId="0" fillId="0" borderId="10" xfId="38" applyFont="1" applyFill="1" applyBorder="1" applyAlignment="1">
      <alignment horizontal="left" vertical="top" wrapText="1"/>
    </xf>
    <xf numFmtId="0" fontId="0" fillId="0" borderId="17" xfId="40" applyNumberFormat="1" applyFont="1" applyFill="1" applyBorder="1" applyAlignment="1">
      <alignment horizontal="center" vertical="top" wrapText="1"/>
    </xf>
    <xf numFmtId="1" fontId="0" fillId="0" borderId="12" xfId="40" applyNumberFormat="1" applyFont="1" applyFill="1" applyBorder="1" applyAlignment="1">
      <alignment horizontal="center" vertical="top"/>
    </xf>
    <xf numFmtId="0" fontId="0" fillId="0" borderId="10" xfId="38" applyFont="1" applyFill="1" applyBorder="1" applyAlignment="1">
      <alignment horizontal="left" vertical="top"/>
    </xf>
    <xf numFmtId="0" fontId="0" fillId="0" borderId="10" xfId="40" applyFont="1" applyFill="1" applyBorder="1" applyAlignment="1">
      <alignment horizontal="center" vertical="top" wrapText="1"/>
    </xf>
    <xf numFmtId="43" fontId="0" fillId="0" borderId="10" xfId="40" applyNumberFormat="1" applyFont="1" applyFill="1" applyBorder="1" applyAlignment="1">
      <alignment horizontal="center" vertical="top" wrapText="1"/>
    </xf>
    <xf numFmtId="1" fontId="0" fillId="0" borderId="10" xfId="0" quotePrefix="1" applyNumberFormat="1" applyFont="1" applyFill="1" applyBorder="1" applyAlignment="1">
      <alignment horizontal="center" vertical="top"/>
    </xf>
    <xf numFmtId="175" fontId="0" fillId="0" borderId="10" xfId="0" applyNumberFormat="1" applyFont="1" applyFill="1" applyBorder="1" applyAlignment="1">
      <alignment horizontal="left" vertical="top" wrapText="1"/>
    </xf>
    <xf numFmtId="168" fontId="0" fillId="0" borderId="10" xfId="0" applyNumberFormat="1" applyFont="1" applyFill="1" applyBorder="1" applyAlignment="1">
      <alignment horizontal="center" vertical="top"/>
    </xf>
    <xf numFmtId="0" fontId="0" fillId="0" borderId="10" xfId="0" quotePrefix="1" applyFont="1" applyFill="1" applyBorder="1" applyAlignment="1">
      <alignment horizontal="center" vertical="top" wrapText="1"/>
    </xf>
    <xf numFmtId="170" fontId="0" fillId="0" borderId="10" xfId="0" applyNumberFormat="1" applyFont="1" applyFill="1" applyBorder="1" applyAlignment="1">
      <alignment horizontal="center" vertical="top"/>
    </xf>
    <xf numFmtId="177" fontId="0" fillId="0" borderId="10" xfId="0" quotePrefix="1" applyNumberFormat="1" applyFont="1" applyFill="1" applyBorder="1" applyAlignment="1">
      <alignment horizontal="center" vertical="top" wrapText="1"/>
    </xf>
    <xf numFmtId="170" fontId="0" fillId="0" borderId="10" xfId="0" quotePrefix="1" applyNumberFormat="1" applyFont="1" applyFill="1" applyBorder="1" applyAlignment="1">
      <alignment horizontal="center" vertical="top" wrapText="1"/>
    </xf>
    <xf numFmtId="0" fontId="0" fillId="0" borderId="10" xfId="0" applyFont="1" applyFill="1" applyBorder="1" applyAlignment="1"/>
    <xf numFmtId="0" fontId="0" fillId="0" borderId="10" xfId="40" applyNumberFormat="1" applyFont="1" applyFill="1" applyBorder="1" applyAlignment="1">
      <alignment horizontal="center" vertical="top"/>
    </xf>
    <xf numFmtId="167" fontId="0" fillId="0" borderId="10" xfId="40" applyNumberFormat="1" applyFont="1" applyFill="1" applyBorder="1" applyAlignment="1">
      <alignment horizontal="center" vertical="center" wrapText="1"/>
    </xf>
    <xf numFmtId="4" fontId="0" fillId="0" borderId="10" xfId="0" applyNumberFormat="1" applyFont="1" applyFill="1" applyBorder="1" applyAlignment="1">
      <alignment horizontal="center" vertical="center" wrapText="1"/>
    </xf>
    <xf numFmtId="4" fontId="0" fillId="0" borderId="11" xfId="0" applyNumberFormat="1" applyFont="1" applyFill="1" applyBorder="1" applyAlignment="1">
      <alignment horizontal="center" vertical="center"/>
    </xf>
    <xf numFmtId="167" fontId="0" fillId="0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>
      <alignment horizontal="center" vertical="center" wrapText="1"/>
    </xf>
    <xf numFmtId="0" fontId="0" fillId="0" borderId="12" xfId="4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center" vertical="top" wrapText="1"/>
    </xf>
    <xf numFmtId="164" fontId="0" fillId="0" borderId="10" xfId="51" applyFont="1" applyFill="1" applyBorder="1" applyAlignment="1">
      <alignment horizontal="left" vertical="top" wrapText="1"/>
    </xf>
    <xf numFmtId="171" fontId="0" fillId="0" borderId="10" xfId="0" applyNumberFormat="1" applyFont="1" applyFill="1" applyBorder="1" applyAlignment="1">
      <alignment horizontal="center" vertical="top" wrapText="1"/>
    </xf>
    <xf numFmtId="2" fontId="0" fillId="0" borderId="10" xfId="38" applyNumberFormat="1" applyFont="1" applyFill="1" applyBorder="1" applyAlignment="1">
      <alignment horizontal="center" vertical="top" wrapText="1"/>
    </xf>
    <xf numFmtId="164" fontId="0" fillId="0" borderId="13" xfId="51" applyFont="1" applyFill="1" applyBorder="1" applyAlignment="1">
      <alignment horizontal="center" vertical="top" wrapText="1"/>
    </xf>
    <xf numFmtId="3" fontId="0" fillId="0" borderId="10" xfId="40" applyNumberFormat="1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center" vertical="top" wrapText="1"/>
    </xf>
    <xf numFmtId="0" fontId="0" fillId="0" borderId="10" xfId="0" quotePrefix="1" applyFont="1" applyFill="1" applyBorder="1" applyAlignment="1">
      <alignment horizontal="center" vertical="top"/>
    </xf>
    <xf numFmtId="164" fontId="0" fillId="0" borderId="10" xfId="51" applyFont="1" applyFill="1" applyBorder="1" applyAlignment="1">
      <alignment horizontal="center" vertical="center" wrapText="1"/>
    </xf>
    <xf numFmtId="164" fontId="0" fillId="0" borderId="11" xfId="51" applyFont="1" applyFill="1" applyBorder="1" applyAlignment="1">
      <alignment horizontal="center" vertical="center" wrapText="1"/>
    </xf>
    <xf numFmtId="3" fontId="0" fillId="0" borderId="11" xfId="0" applyNumberFormat="1" applyFont="1" applyFill="1" applyBorder="1" applyAlignment="1">
      <alignment horizontal="center" vertical="center" wrapText="1"/>
    </xf>
    <xf numFmtId="3" fontId="0" fillId="0" borderId="10" xfId="0" applyNumberFormat="1" applyFont="1" applyFill="1" applyBorder="1" applyAlignment="1">
      <alignment horizontal="center" vertical="top" wrapText="1"/>
    </xf>
    <xf numFmtId="3" fontId="0" fillId="0" borderId="10" xfId="40" applyNumberFormat="1" applyFont="1" applyFill="1" applyBorder="1" applyAlignment="1">
      <alignment horizontal="center" vertical="top" wrapText="1"/>
    </xf>
    <xf numFmtId="2" fontId="0" fillId="0" borderId="10" xfId="40" applyNumberFormat="1" applyFont="1" applyFill="1" applyBorder="1" applyAlignment="1">
      <alignment horizontal="center" vertical="top"/>
    </xf>
    <xf numFmtId="0" fontId="0" fillId="0" borderId="10" xfId="40" applyFont="1" applyFill="1" applyBorder="1" applyAlignment="1">
      <alignment horizontal="left" vertical="top"/>
    </xf>
    <xf numFmtId="167" fontId="0" fillId="0" borderId="10" xfId="40" applyNumberFormat="1" applyFont="1" applyFill="1" applyBorder="1" applyAlignment="1">
      <alignment horizontal="center" vertical="top" wrapText="1"/>
    </xf>
    <xf numFmtId="2" fontId="0" fillId="0" borderId="10" xfId="0" applyNumberFormat="1" applyFont="1" applyFill="1" applyBorder="1" applyAlignment="1">
      <alignment horizontal="center" vertical="top" wrapText="1"/>
    </xf>
    <xf numFmtId="165" fontId="0" fillId="0" borderId="10" xfId="0" applyNumberFormat="1" applyFont="1" applyFill="1" applyBorder="1" applyAlignment="1">
      <alignment horizontal="center" vertical="top" wrapText="1"/>
    </xf>
    <xf numFmtId="0" fontId="0" fillId="0" borderId="10" xfId="40" applyNumberFormat="1" applyFont="1" applyFill="1" applyBorder="1" applyAlignment="1">
      <alignment horizontal="left" vertical="top"/>
    </xf>
    <xf numFmtId="0" fontId="0" fillId="0" borderId="10" xfId="40" applyNumberFormat="1" applyFont="1" applyFill="1" applyBorder="1" applyAlignment="1">
      <alignment horizontal="center" vertical="center" wrapText="1"/>
    </xf>
    <xf numFmtId="0" fontId="0" fillId="0" borderId="11" xfId="40" applyNumberFormat="1" applyFont="1" applyFill="1" applyBorder="1" applyAlignment="1">
      <alignment horizontal="center" vertical="center" wrapText="1"/>
    </xf>
    <xf numFmtId="0" fontId="0" fillId="0" borderId="10" xfId="40" applyFont="1" applyFill="1" applyBorder="1" applyAlignment="1">
      <alignment horizontal="center" vertical="center" wrapText="1"/>
    </xf>
    <xf numFmtId="2" fontId="0" fillId="0" borderId="10" xfId="40" applyNumberFormat="1" applyFont="1" applyFill="1" applyBorder="1" applyAlignment="1">
      <alignment vertical="top" wrapText="1"/>
    </xf>
    <xf numFmtId="0" fontId="0" fillId="0" borderId="10" xfId="40" applyFont="1" applyFill="1" applyBorder="1" applyAlignment="1">
      <alignment vertical="center" wrapText="1"/>
    </xf>
    <xf numFmtId="0" fontId="0" fillId="0" borderId="10" xfId="4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 wrapText="1"/>
    </xf>
    <xf numFmtId="0" fontId="0" fillId="0" borderId="10" xfId="38" applyFont="1" applyFill="1" applyBorder="1" applyAlignment="1">
      <alignment vertical="top" wrapText="1"/>
    </xf>
    <xf numFmtId="0" fontId="0" fillId="0" borderId="10" xfId="38" applyFont="1" applyFill="1" applyBorder="1" applyAlignment="1">
      <alignment wrapText="1"/>
    </xf>
    <xf numFmtId="0" fontId="0" fillId="0" borderId="13" xfId="40" applyFont="1" applyFill="1" applyBorder="1" applyAlignment="1">
      <alignment horizontal="center" vertical="top" wrapText="1"/>
    </xf>
    <xf numFmtId="175" fontId="0" fillId="0" borderId="10" xfId="0" applyNumberFormat="1" applyFont="1" applyFill="1" applyBorder="1" applyAlignment="1">
      <alignment horizontal="center" vertical="center" wrapText="1"/>
    </xf>
    <xf numFmtId="166" fontId="0" fillId="0" borderId="11" xfId="0" applyNumberFormat="1" applyFont="1" applyFill="1" applyBorder="1" applyAlignment="1">
      <alignment horizontal="center" vertical="center" wrapText="1"/>
    </xf>
    <xf numFmtId="0" fontId="0" fillId="0" borderId="10" xfId="38" applyFont="1" applyFill="1" applyBorder="1" applyAlignment="1">
      <alignment horizontal="justify" vertical="top"/>
    </xf>
    <xf numFmtId="3" fontId="0" fillId="0" borderId="10" xfId="40" applyNumberFormat="1" applyFont="1" applyFill="1" applyBorder="1" applyAlignment="1">
      <alignment horizontal="center" vertical="top"/>
    </xf>
    <xf numFmtId="3" fontId="0" fillId="0" borderId="10" xfId="0" applyNumberFormat="1" applyFont="1" applyFill="1" applyBorder="1" applyAlignment="1">
      <alignment horizontal="center" vertical="top"/>
    </xf>
    <xf numFmtId="173" fontId="0" fillId="0" borderId="10" xfId="54" applyNumberFormat="1" applyFont="1" applyFill="1" applyBorder="1" applyAlignment="1">
      <alignment horizontal="center" vertical="top"/>
    </xf>
    <xf numFmtId="4" fontId="0" fillId="0" borderId="10" xfId="0" applyNumberFormat="1" applyFont="1" applyFill="1" applyBorder="1" applyAlignment="1">
      <alignment horizontal="center" vertical="top"/>
    </xf>
    <xf numFmtId="43" fontId="0" fillId="0" borderId="1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168" fontId="0" fillId="0" borderId="10" xfId="0" applyNumberFormat="1" applyFont="1" applyFill="1" applyBorder="1" applyAlignment="1">
      <alignment horizontal="center" vertical="center" wrapText="1"/>
    </xf>
    <xf numFmtId="0" fontId="0" fillId="0" borderId="10" xfId="38" applyFont="1" applyFill="1" applyBorder="1" applyAlignment="1">
      <alignment horizontal="justify" vertical="center"/>
    </xf>
    <xf numFmtId="178" fontId="0" fillId="0" borderId="10" xfId="54" applyFont="1" applyFill="1" applyBorder="1" applyAlignment="1">
      <alignment horizontal="center" vertical="top"/>
    </xf>
    <xf numFmtId="164" fontId="0" fillId="0" borderId="13" xfId="51" applyFont="1" applyFill="1" applyBorder="1" applyAlignment="1">
      <alignment horizontal="center" vertical="center" wrapText="1"/>
    </xf>
    <xf numFmtId="172" fontId="0" fillId="0" borderId="10" xfId="51" applyNumberFormat="1" applyFont="1" applyFill="1" applyBorder="1" applyAlignment="1">
      <alignment horizontal="center" vertical="top"/>
    </xf>
    <xf numFmtId="0" fontId="0" fillId="0" borderId="10" xfId="0" applyFont="1" applyFill="1" applyBorder="1" applyAlignment="1">
      <alignment horizontal="left" vertical="center" wrapText="1"/>
    </xf>
    <xf numFmtId="3" fontId="0" fillId="0" borderId="16" xfId="0" applyNumberFormat="1" applyFont="1" applyFill="1" applyBorder="1" applyAlignment="1">
      <alignment horizontal="center" vertical="center"/>
    </xf>
    <xf numFmtId="4" fontId="0" fillId="0" borderId="16" xfId="0" applyNumberFormat="1" applyFont="1" applyFill="1" applyBorder="1" applyAlignment="1">
      <alignment horizontal="center" vertical="center"/>
    </xf>
    <xf numFmtId="168" fontId="0" fillId="0" borderId="16" xfId="0" applyNumberFormat="1" applyFont="1" applyFill="1" applyBorder="1" applyAlignment="1">
      <alignment horizontal="center" vertical="center"/>
    </xf>
    <xf numFmtId="4" fontId="0" fillId="0" borderId="18" xfId="0" applyNumberFormat="1" applyFont="1" applyFill="1" applyBorder="1" applyAlignment="1">
      <alignment horizontal="center" vertical="center"/>
    </xf>
    <xf numFmtId="2" fontId="0" fillId="0" borderId="10" xfId="40" applyNumberFormat="1" applyFont="1" applyFill="1" applyBorder="1" applyAlignment="1">
      <alignment vertical="center" wrapText="1"/>
    </xf>
    <xf numFmtId="0" fontId="0" fillId="0" borderId="10" xfId="38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10" xfId="0" quotePrefix="1" applyFont="1" applyFill="1" applyBorder="1" applyAlignment="1">
      <alignment horizontal="center" vertical="center"/>
    </xf>
    <xf numFmtId="168" fontId="0" fillId="0" borderId="10" xfId="0" applyNumberFormat="1" applyFont="1" applyFill="1" applyBorder="1" applyAlignment="1">
      <alignment horizontal="center" vertical="center"/>
    </xf>
    <xf numFmtId="0" fontId="0" fillId="0" borderId="10" xfId="4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top"/>
    </xf>
    <xf numFmtId="165" fontId="0" fillId="0" borderId="10" xfId="0" applyNumberFormat="1" applyFont="1" applyFill="1" applyBorder="1" applyAlignment="1">
      <alignment horizontal="center" vertical="center"/>
    </xf>
    <xf numFmtId="1" fontId="1" fillId="0" borderId="10" xfId="40" applyNumberFormat="1" applyFont="1" applyFill="1" applyBorder="1" applyAlignment="1">
      <alignment horizontal="center" vertical="top" wrapText="1"/>
    </xf>
    <xf numFmtId="3" fontId="1" fillId="0" borderId="10" xfId="40" applyNumberFormat="1" applyFont="1" applyFill="1" applyBorder="1" applyAlignment="1">
      <alignment horizontal="center" vertical="center"/>
    </xf>
    <xf numFmtId="3" fontId="1" fillId="0" borderId="11" xfId="4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164" fontId="1" fillId="0" borderId="10" xfId="51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2" fontId="1" fillId="0" borderId="10" xfId="40" applyNumberFormat="1" applyFont="1" applyFill="1" applyBorder="1" applyAlignment="1">
      <alignment horizontal="center" vertical="center" wrapText="1"/>
    </xf>
    <xf numFmtId="1" fontId="1" fillId="0" borderId="10" xfId="40" applyNumberFormat="1" applyFont="1" applyFill="1" applyBorder="1" applyAlignment="1">
      <alignment horizontal="center" vertical="center" wrapText="1"/>
    </xf>
    <xf numFmtId="4" fontId="1" fillId="0" borderId="10" xfId="40" applyNumberFormat="1" applyFont="1" applyFill="1" applyBorder="1" applyAlignment="1">
      <alignment horizontal="center" vertical="center" wrapText="1"/>
    </xf>
    <xf numFmtId="1" fontId="1" fillId="0" borderId="10" xfId="40" applyNumberFormat="1" applyFont="1" applyFill="1" applyBorder="1" applyAlignment="1">
      <alignment horizontal="center" vertical="top"/>
    </xf>
    <xf numFmtId="0" fontId="1" fillId="0" borderId="10" xfId="40" applyFont="1" applyFill="1" applyBorder="1" applyAlignment="1">
      <alignment horizontal="left" vertical="top" wrapText="1"/>
    </xf>
    <xf numFmtId="0" fontId="1" fillId="0" borderId="10" xfId="39" applyFont="1" applyFill="1" applyBorder="1" applyAlignment="1">
      <alignment horizontal="left" vertical="top" wrapText="1"/>
    </xf>
    <xf numFmtId="0" fontId="1" fillId="0" borderId="10" xfId="39" applyFont="1" applyFill="1" applyBorder="1" applyAlignment="1">
      <alignment horizontal="center" vertical="top" wrapText="1"/>
    </xf>
    <xf numFmtId="0" fontId="1" fillId="0" borderId="10" xfId="36" applyFont="1" applyFill="1" applyBorder="1" applyAlignment="1">
      <alignment horizontal="center" vertical="top" wrapText="1"/>
    </xf>
    <xf numFmtId="4" fontId="1" fillId="0" borderId="10" xfId="40" applyNumberFormat="1" applyFont="1" applyFill="1" applyBorder="1" applyAlignment="1">
      <alignment horizontal="center" vertical="top" wrapText="1"/>
    </xf>
    <xf numFmtId="164" fontId="1" fillId="0" borderId="10" xfId="51" applyFont="1" applyFill="1" applyBorder="1" applyAlignment="1">
      <alignment horizontal="center" vertical="top" wrapText="1"/>
    </xf>
    <xf numFmtId="168" fontId="1" fillId="0" borderId="10" xfId="0" applyNumberFormat="1" applyFont="1" applyFill="1" applyBorder="1" applyAlignment="1">
      <alignment horizontal="center" vertical="top" wrapText="1"/>
    </xf>
    <xf numFmtId="43" fontId="1" fillId="0" borderId="10" xfId="0" applyNumberFormat="1" applyFont="1" applyFill="1" applyBorder="1" applyAlignment="1">
      <alignment horizontal="center" vertical="top" wrapText="1"/>
    </xf>
    <xf numFmtId="164" fontId="1" fillId="0" borderId="11" xfId="51" applyFont="1" applyFill="1" applyBorder="1" applyAlignment="1">
      <alignment horizontal="center" vertical="top" wrapText="1"/>
    </xf>
    <xf numFmtId="4" fontId="1" fillId="0" borderId="11" xfId="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2" fontId="1" fillId="0" borderId="19" xfId="40" applyNumberFormat="1" applyFont="1" applyFill="1" applyBorder="1" applyAlignment="1">
      <alignment horizontal="left" vertical="top" wrapText="1"/>
    </xf>
    <xf numFmtId="0" fontId="1" fillId="0" borderId="10" xfId="38" applyFont="1" applyFill="1" applyBorder="1" applyAlignment="1">
      <alignment horizontal="center" vertical="top" wrapText="1"/>
    </xf>
    <xf numFmtId="164" fontId="1" fillId="0" borderId="10" xfId="51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1" fontId="1" fillId="0" borderId="10" xfId="36" applyNumberFormat="1" applyFont="1" applyFill="1" applyBorder="1" applyAlignment="1">
      <alignment horizontal="center" vertical="top" wrapText="1"/>
    </xf>
    <xf numFmtId="2" fontId="1" fillId="0" borderId="10" xfId="36" applyNumberFormat="1" applyFont="1" applyFill="1" applyBorder="1" applyAlignment="1">
      <alignment horizontal="center" vertical="top" wrapText="1"/>
    </xf>
    <xf numFmtId="0" fontId="1" fillId="0" borderId="10" xfId="36" applyFont="1" applyFill="1" applyBorder="1" applyAlignment="1">
      <alignment horizontal="left" vertical="top"/>
    </xf>
    <xf numFmtId="0" fontId="1" fillId="0" borderId="10" xfId="36" applyFont="1" applyFill="1" applyBorder="1" applyAlignment="1">
      <alignment horizontal="left" vertical="top" wrapText="1"/>
    </xf>
    <xf numFmtId="0" fontId="1" fillId="0" borderId="10" xfId="36" applyFont="1" applyFill="1" applyBorder="1" applyAlignment="1">
      <alignment horizontal="center" vertical="top"/>
    </xf>
    <xf numFmtId="173" fontId="1" fillId="0" borderId="10" xfId="51" applyNumberFormat="1" applyFont="1" applyFill="1" applyBorder="1" applyAlignment="1">
      <alignment horizontal="center" vertical="top" wrapText="1"/>
    </xf>
    <xf numFmtId="164" fontId="1" fillId="0" borderId="10" xfId="0" applyNumberFormat="1" applyFont="1" applyFill="1" applyBorder="1" applyAlignment="1">
      <alignment horizontal="center" vertical="top" wrapText="1"/>
    </xf>
    <xf numFmtId="165" fontId="1" fillId="0" borderId="10" xfId="0" applyNumberFormat="1" applyFont="1" applyFill="1" applyBorder="1" applyAlignment="1">
      <alignment horizontal="center" vertical="top" wrapText="1"/>
    </xf>
    <xf numFmtId="2" fontId="1" fillId="0" borderId="10" xfId="40" applyNumberFormat="1" applyFon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top" wrapText="1"/>
    </xf>
    <xf numFmtId="167" fontId="1" fillId="0" borderId="10" xfId="0" applyNumberFormat="1" applyFont="1" applyFill="1" applyBorder="1" applyAlignment="1">
      <alignment horizontal="center" vertical="top" wrapText="1"/>
    </xf>
    <xf numFmtId="0" fontId="1" fillId="0" borderId="10" xfId="38" applyFont="1" applyFill="1" applyBorder="1" applyAlignment="1">
      <alignment horizontal="left" vertical="top"/>
    </xf>
    <xf numFmtId="2" fontId="1" fillId="0" borderId="10" xfId="40" applyNumberFormat="1" applyFont="1" applyFill="1" applyBorder="1" applyAlignment="1">
      <alignment horizontal="left" vertical="top" wrapText="1"/>
    </xf>
    <xf numFmtId="2" fontId="21" fillId="0" borderId="13" xfId="40" applyNumberFormat="1" applyFont="1" applyFill="1" applyBorder="1" applyAlignment="1">
      <alignment horizontal="center" vertical="top" wrapText="1"/>
    </xf>
    <xf numFmtId="0" fontId="1" fillId="0" borderId="10" xfId="40" applyFont="1" applyFill="1" applyBorder="1" applyAlignment="1">
      <alignment horizontal="center" vertical="top" wrapText="1"/>
    </xf>
    <xf numFmtId="43" fontId="1" fillId="0" borderId="10" xfId="40" applyNumberFormat="1" applyFont="1" applyFill="1" applyBorder="1" applyAlignment="1">
      <alignment horizontal="center" vertical="top" wrapText="1"/>
    </xf>
    <xf numFmtId="168" fontId="1" fillId="0" borderId="10" xfId="0" applyNumberFormat="1" applyFont="1" applyFill="1" applyBorder="1" applyAlignment="1">
      <alignment horizontal="center" vertical="top"/>
    </xf>
    <xf numFmtId="0" fontId="1" fillId="0" borderId="10" xfId="0" quotePrefix="1" applyFont="1" applyFill="1" applyBorder="1" applyAlignment="1">
      <alignment horizontal="center" vertical="top" wrapText="1"/>
    </xf>
    <xf numFmtId="170" fontId="1" fillId="0" borderId="10" xfId="0" applyNumberFormat="1" applyFont="1" applyFill="1" applyBorder="1" applyAlignment="1">
      <alignment horizontal="center" vertical="top"/>
    </xf>
    <xf numFmtId="177" fontId="1" fillId="0" borderId="10" xfId="0" quotePrefix="1" applyNumberFormat="1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170" fontId="1" fillId="0" borderId="10" xfId="0" quotePrefix="1" applyNumberFormat="1" applyFont="1" applyFill="1" applyBorder="1" applyAlignment="1">
      <alignment horizontal="center" vertical="top" wrapText="1"/>
    </xf>
    <xf numFmtId="3" fontId="1" fillId="0" borderId="10" xfId="40" applyNumberFormat="1" applyFont="1" applyFill="1" applyBorder="1" applyAlignment="1">
      <alignment horizontal="center" vertical="top"/>
    </xf>
    <xf numFmtId="3" fontId="1" fillId="0" borderId="10" xfId="0" applyNumberFormat="1" applyFont="1" applyFill="1" applyBorder="1" applyAlignment="1">
      <alignment horizontal="center" vertical="top"/>
    </xf>
    <xf numFmtId="167" fontId="1" fillId="0" borderId="10" xfId="40" applyNumberFormat="1" applyFont="1" applyFill="1" applyBorder="1" applyAlignment="1">
      <alignment horizontal="center" vertical="top" wrapText="1"/>
    </xf>
    <xf numFmtId="4" fontId="1" fillId="0" borderId="11" xfId="0" applyNumberFormat="1" applyFont="1" applyFill="1" applyBorder="1" applyAlignment="1">
      <alignment horizontal="center" vertical="top"/>
    </xf>
    <xf numFmtId="1" fontId="21" fillId="0" borderId="10" xfId="0" applyNumberFormat="1" applyFont="1" applyFill="1" applyBorder="1" applyAlignment="1">
      <alignment horizontal="center" vertical="top" wrapText="1"/>
    </xf>
    <xf numFmtId="49" fontId="1" fillId="0" borderId="10" xfId="0" applyNumberFormat="1" applyFont="1" applyFill="1" applyBorder="1" applyAlignment="1">
      <alignment horizontal="center" vertical="top" wrapText="1"/>
    </xf>
    <xf numFmtId="49" fontId="1" fillId="0" borderId="11" xfId="0" applyNumberFormat="1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164" fontId="1" fillId="0" borderId="10" xfId="51" applyFont="1" applyFill="1" applyBorder="1" applyAlignment="1">
      <alignment horizontal="left" vertical="top" wrapText="1"/>
    </xf>
    <xf numFmtId="171" fontId="1" fillId="0" borderId="10" xfId="0" applyNumberFormat="1" applyFont="1" applyFill="1" applyBorder="1" applyAlignment="1">
      <alignment horizontal="center" vertical="top" wrapText="1"/>
    </xf>
    <xf numFmtId="2" fontId="1" fillId="0" borderId="10" xfId="38" applyNumberFormat="1" applyFont="1" applyFill="1" applyBorder="1" applyAlignment="1">
      <alignment horizontal="center" vertical="top" wrapText="1"/>
    </xf>
    <xf numFmtId="0" fontId="1" fillId="0" borderId="10" xfId="38" applyFont="1" applyFill="1" applyBorder="1" applyAlignment="1">
      <alignment horizontal="left" vertical="top" wrapText="1"/>
    </xf>
    <xf numFmtId="164" fontId="1" fillId="0" borderId="13" xfId="51" applyFont="1" applyFill="1" applyBorder="1" applyAlignment="1">
      <alignment horizontal="center" vertical="top" wrapText="1"/>
    </xf>
    <xf numFmtId="2" fontId="1" fillId="0" borderId="10" xfId="0" applyNumberFormat="1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center" vertical="top" wrapText="1"/>
    </xf>
    <xf numFmtId="3" fontId="1" fillId="0" borderId="11" xfId="0" applyNumberFormat="1" applyFont="1" applyFill="1" applyBorder="1" applyAlignment="1">
      <alignment horizontal="center" vertical="top" wrapText="1"/>
    </xf>
    <xf numFmtId="3" fontId="1" fillId="0" borderId="10" xfId="0" applyNumberFormat="1" applyFont="1" applyFill="1" applyBorder="1" applyAlignment="1">
      <alignment horizontal="center" vertical="top" wrapText="1"/>
    </xf>
    <xf numFmtId="3" fontId="1" fillId="0" borderId="10" xfId="40" applyNumberFormat="1" applyFont="1" applyFill="1" applyBorder="1" applyAlignment="1">
      <alignment horizontal="center" vertical="top" wrapText="1"/>
    </xf>
    <xf numFmtId="2" fontId="1" fillId="0" borderId="10" xfId="40" applyNumberFormat="1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40" applyFont="1" applyFill="1" applyBorder="1" applyAlignment="1">
      <alignment vertical="center" wrapText="1"/>
    </xf>
    <xf numFmtId="0" fontId="1" fillId="0" borderId="10" xfId="38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2" fontId="21" fillId="0" borderId="10" xfId="40" applyNumberFormat="1" applyFont="1" applyFill="1" applyBorder="1" applyAlignment="1">
      <alignment horizontal="left" vertical="center" wrapText="1"/>
    </xf>
    <xf numFmtId="2" fontId="21" fillId="0" borderId="11" xfId="40" applyNumberFormat="1" applyFont="1" applyFill="1" applyBorder="1" applyAlignment="1">
      <alignment horizontal="left" vertical="center" wrapText="1"/>
    </xf>
    <xf numFmtId="0" fontId="21" fillId="0" borderId="12" xfId="40" applyFont="1" applyFill="1" applyBorder="1" applyAlignment="1">
      <alignment horizontal="center" vertical="top" wrapText="1"/>
    </xf>
    <xf numFmtId="0" fontId="1" fillId="0" borderId="10" xfId="38" applyFont="1" applyFill="1" applyBorder="1" applyAlignment="1">
      <alignment horizontal="justify" vertical="center"/>
    </xf>
    <xf numFmtId="2" fontId="1" fillId="0" borderId="10" xfId="0" applyNumberFormat="1" applyFont="1" applyFill="1" applyBorder="1" applyAlignment="1">
      <alignment horizontal="center" vertical="top" wrapText="1"/>
    </xf>
    <xf numFmtId="0" fontId="21" fillId="0" borderId="11" xfId="40" applyFont="1" applyFill="1" applyBorder="1" applyAlignment="1">
      <alignment horizontal="left" vertical="center" wrapText="1"/>
    </xf>
    <xf numFmtId="0" fontId="1" fillId="0" borderId="10" xfId="40" applyNumberFormat="1" applyFont="1" applyFill="1" applyBorder="1" applyAlignment="1">
      <alignment horizontal="center" vertical="top" wrapText="1"/>
    </xf>
    <xf numFmtId="0" fontId="1" fillId="0" borderId="11" xfId="4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vertical="top" wrapText="1"/>
    </xf>
    <xf numFmtId="2" fontId="1" fillId="0" borderId="10" xfId="40" applyNumberFormat="1" applyFont="1" applyFill="1" applyBorder="1" applyAlignment="1">
      <alignment horizontal="left" vertical="center" wrapText="1"/>
    </xf>
    <xf numFmtId="174" fontId="21" fillId="19" borderId="11" xfId="51" applyNumberFormat="1" applyFont="1" applyFill="1" applyBorder="1" applyAlignment="1">
      <alignment horizontal="center" vertical="center"/>
    </xf>
    <xf numFmtId="166" fontId="21" fillId="19" borderId="11" xfId="40" applyNumberFormat="1" applyFont="1" applyFill="1" applyBorder="1" applyAlignment="1">
      <alignment horizontal="center" vertical="top" wrapText="1"/>
    </xf>
    <xf numFmtId="176" fontId="1" fillId="0" borderId="11" xfId="51" applyNumberFormat="1" applyFont="1" applyFill="1" applyBorder="1" applyAlignment="1">
      <alignment horizontal="center" vertical="top" wrapText="1"/>
    </xf>
    <xf numFmtId="4" fontId="21" fillId="0" borderId="10" xfId="40" applyNumberFormat="1" applyFont="1" applyFill="1" applyBorder="1" applyAlignment="1">
      <alignment horizontal="center" vertical="top" wrapText="1"/>
    </xf>
    <xf numFmtId="0" fontId="21" fillId="0" borderId="10" xfId="40" applyNumberFormat="1" applyFont="1" applyFill="1" applyBorder="1" applyAlignment="1">
      <alignment horizontal="center" vertical="top" wrapText="1"/>
    </xf>
    <xf numFmtId="4" fontId="0" fillId="0" borderId="16" xfId="40" applyNumberFormat="1" applyFont="1" applyFill="1" applyBorder="1" applyAlignment="1">
      <alignment horizontal="center" vertical="top" wrapText="1"/>
    </xf>
    <xf numFmtId="4" fontId="0" fillId="0" borderId="14" xfId="40" applyNumberFormat="1" applyFont="1" applyFill="1" applyBorder="1" applyAlignment="1">
      <alignment horizontal="center" vertical="top" wrapText="1"/>
    </xf>
    <xf numFmtId="4" fontId="0" fillId="0" borderId="15" xfId="40" applyNumberFormat="1" applyFont="1" applyFill="1" applyBorder="1" applyAlignment="1">
      <alignment horizontal="center" vertical="top" wrapText="1"/>
    </xf>
    <xf numFmtId="0" fontId="23" fillId="0" borderId="0" xfId="36" applyFont="1" applyFill="1" applyAlignment="1">
      <alignment horizontal="right" vertical="center"/>
    </xf>
    <xf numFmtId="2" fontId="0" fillId="0" borderId="10" xfId="0" applyNumberFormat="1" applyFont="1" applyFill="1" applyBorder="1" applyAlignment="1">
      <alignment horizontal="center" vertical="center"/>
    </xf>
    <xf numFmtId="164" fontId="1" fillId="0" borderId="10" xfId="51" applyFill="1" applyBorder="1" applyAlignment="1">
      <alignment horizontal="right" vertical="center"/>
    </xf>
    <xf numFmtId="4" fontId="21" fillId="0" borderId="11" xfId="0" applyNumberFormat="1" applyFont="1" applyFill="1" applyBorder="1" applyAlignment="1">
      <alignment horizontal="right" vertical="center" wrapText="1"/>
    </xf>
    <xf numFmtId="4" fontId="20" fillId="0" borderId="10" xfId="0" applyNumberFormat="1" applyFont="1" applyFill="1" applyBorder="1" applyAlignment="1">
      <alignment vertical="top"/>
    </xf>
    <xf numFmtId="0" fontId="21" fillId="0" borderId="11" xfId="40" applyNumberFormat="1" applyFont="1" applyFill="1" applyBorder="1" applyAlignment="1">
      <alignment horizontal="center" vertical="top" wrapText="1"/>
    </xf>
    <xf numFmtId="3" fontId="0" fillId="0" borderId="11" xfId="0" applyNumberFormat="1" applyFont="1" applyFill="1" applyBorder="1" applyAlignment="1">
      <alignment horizontal="center" vertical="top" wrapText="1"/>
    </xf>
    <xf numFmtId="43" fontId="20" fillId="0" borderId="10" xfId="0" applyNumberFormat="1" applyFont="1" applyFill="1" applyBorder="1" applyAlignment="1">
      <alignment vertical="top"/>
    </xf>
    <xf numFmtId="166" fontId="16" fillId="0" borderId="11" xfId="0" applyNumberFormat="1" applyFont="1" applyFill="1" applyBorder="1" applyAlignment="1">
      <alignment horizontal="center" vertical="top" wrapText="1"/>
    </xf>
    <xf numFmtId="4" fontId="21" fillId="0" borderId="11" xfId="0" applyNumberFormat="1" applyFont="1" applyFill="1" applyBorder="1" applyAlignment="1">
      <alignment horizontal="right" vertical="top" wrapText="1"/>
    </xf>
    <xf numFmtId="4" fontId="0" fillId="15" borderId="16" xfId="40" applyNumberFormat="1" applyFont="1" applyFill="1" applyBorder="1" applyAlignment="1">
      <alignment horizontal="center" vertical="center" wrapText="1"/>
    </xf>
    <xf numFmtId="3" fontId="0" fillId="23" borderId="11" xfId="40" applyNumberFormat="1" applyFont="1" applyFill="1" applyBorder="1" applyAlignment="1">
      <alignment horizontal="center" vertical="center"/>
    </xf>
    <xf numFmtId="0" fontId="20" fillId="22" borderId="10" xfId="0" applyFont="1" applyFill="1" applyBorder="1" applyAlignment="1">
      <alignment horizontal="center" vertical="center"/>
    </xf>
    <xf numFmtId="4" fontId="16" fillId="19" borderId="11" xfId="0" applyNumberFormat="1" applyFont="1" applyFill="1" applyBorder="1" applyAlignment="1">
      <alignment horizontal="center" vertical="center" wrapText="1"/>
    </xf>
    <xf numFmtId="175" fontId="0" fillId="0" borderId="12" xfId="0" applyNumberFormat="1" applyFont="1" applyFill="1" applyBorder="1" applyAlignment="1">
      <alignment horizontal="left" vertical="top" wrapText="1"/>
    </xf>
    <xf numFmtId="4" fontId="16" fillId="27" borderId="11" xfId="0" applyNumberFormat="1" applyFont="1" applyFill="1" applyBorder="1" applyAlignment="1">
      <alignment horizontal="center" vertical="top" wrapText="1"/>
    </xf>
    <xf numFmtId="164" fontId="16" fillId="16" borderId="10" xfId="51" applyFont="1" applyFill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16" borderId="10" xfId="0" applyFont="1" applyFill="1" applyBorder="1" applyAlignment="1">
      <alignment vertical="center" wrapText="1"/>
    </xf>
    <xf numFmtId="4" fontId="20" fillId="27" borderId="10" xfId="0" applyNumberFormat="1" applyFont="1" applyFill="1" applyBorder="1" applyAlignment="1">
      <alignment vertical="center"/>
    </xf>
    <xf numFmtId="4" fontId="16" fillId="19" borderId="11" xfId="4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>
      <alignment horizontal="center" vertical="top" wrapText="1"/>
    </xf>
    <xf numFmtId="4" fontId="0" fillId="0" borderId="12" xfId="0" applyNumberFormat="1" applyFont="1" applyFill="1" applyBorder="1" applyAlignment="1">
      <alignment horizontal="center" vertical="top" wrapText="1"/>
    </xf>
    <xf numFmtId="4" fontId="0" fillId="0" borderId="13" xfId="0" applyNumberFormat="1" applyFont="1" applyFill="1" applyBorder="1" applyAlignment="1">
      <alignment horizontal="center" vertical="top" wrapText="1"/>
    </xf>
    <xf numFmtId="174" fontId="21" fillId="0" borderId="0" xfId="51" applyNumberFormat="1" applyFont="1" applyFill="1" applyBorder="1" applyAlignment="1">
      <alignment horizontal="center" vertical="top"/>
    </xf>
    <xf numFmtId="4" fontId="0" fillId="0" borderId="0" xfId="0" applyNumberFormat="1" applyFont="1" applyFill="1" applyBorder="1" applyAlignment="1">
      <alignment horizontal="center" vertical="center"/>
    </xf>
    <xf numFmtId="167" fontId="21" fillId="0" borderId="13" xfId="0" applyNumberFormat="1" applyFont="1" applyFill="1" applyBorder="1" applyAlignment="1">
      <alignment horizontal="center" vertical="center" wrapText="1"/>
    </xf>
    <xf numFmtId="4" fontId="0" fillId="0" borderId="13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center" vertical="center" wrapText="1"/>
    </xf>
    <xf numFmtId="4" fontId="21" fillId="0" borderId="13" xfId="0" applyNumberFormat="1" applyFont="1" applyFill="1" applyBorder="1" applyAlignment="1">
      <alignment horizontal="center" vertical="center"/>
    </xf>
    <xf numFmtId="4" fontId="0" fillId="16" borderId="11" xfId="0" applyNumberFormat="1" applyFont="1" applyFill="1" applyBorder="1" applyAlignment="1">
      <alignment horizontal="center" vertical="top" wrapText="1"/>
    </xf>
    <xf numFmtId="4" fontId="0" fillId="24" borderId="11" xfId="0" applyNumberFormat="1" applyFont="1" applyFill="1" applyBorder="1" applyAlignment="1">
      <alignment horizontal="center" vertical="top" wrapText="1"/>
    </xf>
    <xf numFmtId="4" fontId="0" fillId="23" borderId="11" xfId="0" applyNumberFormat="1" applyFont="1" applyFill="1" applyBorder="1" applyAlignment="1">
      <alignment horizontal="center" vertical="top" wrapText="1"/>
    </xf>
    <xf numFmtId="4" fontId="0" fillId="20" borderId="11" xfId="0" applyNumberFormat="1" applyFont="1" applyFill="1" applyBorder="1" applyAlignment="1">
      <alignment horizontal="center" vertical="top" wrapText="1"/>
    </xf>
    <xf numFmtId="4" fontId="0" fillId="22" borderId="11" xfId="0" applyNumberFormat="1" applyFont="1" applyFill="1" applyBorder="1" applyAlignment="1">
      <alignment horizontal="center" vertical="top" wrapText="1"/>
    </xf>
    <xf numFmtId="4" fontId="0" fillId="19" borderId="11" xfId="0" applyNumberFormat="1" applyFont="1" applyFill="1" applyBorder="1" applyAlignment="1">
      <alignment horizontal="center" vertical="top" wrapText="1"/>
    </xf>
    <xf numFmtId="4" fontId="0" fillId="28" borderId="11" xfId="0" applyNumberFormat="1" applyFont="1" applyFill="1" applyBorder="1" applyAlignment="1">
      <alignment horizontal="center" vertical="top" wrapText="1"/>
    </xf>
    <xf numFmtId="4" fontId="0" fillId="28" borderId="11" xfId="0" applyNumberFormat="1" applyFont="1" applyFill="1" applyBorder="1" applyAlignment="1">
      <alignment horizontal="center" vertical="center"/>
    </xf>
    <xf numFmtId="4" fontId="0" fillId="19" borderId="11" xfId="0" applyNumberFormat="1" applyFont="1" applyFill="1" applyBorder="1" applyAlignment="1">
      <alignment horizontal="center" vertical="center"/>
    </xf>
    <xf numFmtId="4" fontId="0" fillId="24" borderId="11" xfId="0" applyNumberFormat="1" applyFont="1" applyFill="1" applyBorder="1" applyAlignment="1">
      <alignment horizontal="center" vertical="center"/>
    </xf>
    <xf numFmtId="4" fontId="0" fillId="16" borderId="11" xfId="0" applyNumberFormat="1" applyFont="1" applyFill="1" applyBorder="1" applyAlignment="1">
      <alignment horizontal="center" vertical="center"/>
    </xf>
    <xf numFmtId="166" fontId="21" fillId="0" borderId="11" xfId="0" applyNumberFormat="1" applyFont="1" applyFill="1" applyBorder="1" applyAlignment="1">
      <alignment horizontal="center" vertical="center" wrapText="1"/>
    </xf>
    <xf numFmtId="4" fontId="0" fillId="28" borderId="13" xfId="0" applyNumberFormat="1" applyFont="1" applyFill="1" applyBorder="1" applyAlignment="1">
      <alignment horizontal="center" vertical="top" wrapText="1"/>
    </xf>
    <xf numFmtId="4" fontId="0" fillId="20" borderId="11" xfId="0" applyNumberFormat="1" applyFont="1" applyFill="1" applyBorder="1" applyAlignment="1">
      <alignment horizontal="center" vertical="center" wrapText="1"/>
    </xf>
    <xf numFmtId="4" fontId="0" fillId="24" borderId="11" xfId="0" applyNumberFormat="1" applyFont="1" applyFill="1" applyBorder="1" applyAlignment="1">
      <alignment horizontal="center" vertical="center" wrapText="1"/>
    </xf>
    <xf numFmtId="4" fontId="0" fillId="19" borderId="11" xfId="0" applyNumberFormat="1" applyFont="1" applyFill="1" applyBorder="1" applyAlignment="1">
      <alignment horizontal="center" vertical="center" wrapText="1"/>
    </xf>
    <xf numFmtId="4" fontId="0" fillId="22" borderId="11" xfId="0" applyNumberFormat="1" applyFont="1" applyFill="1" applyBorder="1" applyAlignment="1">
      <alignment horizontal="center" vertical="center"/>
    </xf>
    <xf numFmtId="4" fontId="0" fillId="29" borderId="11" xfId="0" applyNumberFormat="1" applyFont="1" applyFill="1" applyBorder="1" applyAlignment="1">
      <alignment horizontal="center" vertical="center"/>
    </xf>
    <xf numFmtId="167" fontId="21" fillId="19" borderId="11" xfId="0" applyNumberFormat="1" applyFont="1" applyFill="1" applyBorder="1" applyAlignment="1">
      <alignment horizontal="center" vertical="center" wrapText="1"/>
    </xf>
    <xf numFmtId="167" fontId="21" fillId="28" borderId="11" xfId="0" applyNumberFormat="1" applyFont="1" applyFill="1" applyBorder="1" applyAlignment="1">
      <alignment horizontal="center" vertical="center" wrapText="1"/>
    </xf>
    <xf numFmtId="167" fontId="21" fillId="16" borderId="11" xfId="0" applyNumberFormat="1" applyFont="1" applyFill="1" applyBorder="1" applyAlignment="1">
      <alignment horizontal="center" vertical="center" wrapText="1"/>
    </xf>
    <xf numFmtId="4" fontId="0" fillId="19" borderId="0" xfId="0" applyNumberFormat="1" applyFont="1" applyFill="1" applyBorder="1" applyAlignment="1">
      <alignment horizontal="center" vertical="top" wrapText="1"/>
    </xf>
    <xf numFmtId="4" fontId="0" fillId="19" borderId="10" xfId="0" applyNumberFormat="1" applyFont="1" applyFill="1" applyBorder="1" applyAlignment="1">
      <alignment horizontal="center" vertical="top" wrapText="1"/>
    </xf>
    <xf numFmtId="4" fontId="0" fillId="23" borderId="10" xfId="0" applyNumberFormat="1" applyFont="1" applyFill="1" applyBorder="1" applyAlignment="1">
      <alignment horizontal="center" vertical="top" wrapText="1"/>
    </xf>
    <xf numFmtId="4" fontId="0" fillId="24" borderId="10" xfId="0" applyNumberFormat="1" applyFont="1" applyFill="1" applyBorder="1" applyAlignment="1">
      <alignment horizontal="center" vertical="top" wrapText="1"/>
    </xf>
    <xf numFmtId="4" fontId="0" fillId="28" borderId="10" xfId="0" applyNumberFormat="1" applyFont="1" applyFill="1" applyBorder="1" applyAlignment="1">
      <alignment horizontal="center" vertical="top" wrapText="1"/>
    </xf>
    <xf numFmtId="4" fontId="0" fillId="28" borderId="0" xfId="0" applyNumberFormat="1" applyFont="1" applyFill="1" applyBorder="1" applyAlignment="1">
      <alignment horizontal="center" vertical="top" wrapText="1"/>
    </xf>
    <xf numFmtId="4" fontId="0" fillId="16" borderId="13" xfId="0" applyNumberFormat="1" applyFont="1" applyFill="1" applyBorder="1" applyAlignment="1">
      <alignment horizontal="center" vertical="top" wrapText="1"/>
    </xf>
    <xf numFmtId="4" fontId="0" fillId="19" borderId="13" xfId="0" applyNumberFormat="1" applyFont="1" applyFill="1" applyBorder="1" applyAlignment="1">
      <alignment horizontal="center" vertical="top" wrapText="1"/>
    </xf>
    <xf numFmtId="4" fontId="21" fillId="0" borderId="13" xfId="0" applyNumberFormat="1" applyFont="1" applyFill="1" applyBorder="1" applyAlignment="1">
      <alignment horizontal="center" vertical="center" wrapText="1"/>
    </xf>
    <xf numFmtId="2" fontId="0" fillId="16" borderId="10" xfId="40" applyNumberFormat="1" applyFont="1" applyFill="1" applyBorder="1" applyAlignment="1">
      <alignment horizontal="left" vertical="top" wrapText="1"/>
    </xf>
    <xf numFmtId="0" fontId="0" fillId="16" borderId="10" xfId="40" applyFont="1" applyFill="1" applyBorder="1" applyAlignment="1">
      <alignment horizontal="left" vertical="top" wrapText="1"/>
    </xf>
    <xf numFmtId="0" fontId="0" fillId="16" borderId="10" xfId="38" applyFont="1" applyFill="1" applyBorder="1" applyAlignment="1">
      <alignment horizontal="left" vertical="top" wrapText="1"/>
    </xf>
    <xf numFmtId="0" fontId="0" fillId="16" borderId="10" xfId="0" applyFill="1" applyBorder="1" applyAlignment="1">
      <alignment horizontal="left" vertical="top" wrapText="1"/>
    </xf>
    <xf numFmtId="164" fontId="0" fillId="16" borderId="10" xfId="51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center" vertical="top" wrapText="1"/>
    </xf>
    <xf numFmtId="4" fontId="1" fillId="0" borderId="14" xfId="40" applyNumberFormat="1" applyFont="1" applyFill="1" applyBorder="1" applyAlignment="1">
      <alignment horizontal="center" vertical="top" wrapText="1"/>
    </xf>
    <xf numFmtId="4" fontId="1" fillId="0" borderId="15" xfId="40" applyNumberFormat="1" applyFont="1" applyFill="1" applyBorder="1" applyAlignment="1">
      <alignment horizontal="center" vertical="top" wrapText="1"/>
    </xf>
    <xf numFmtId="4" fontId="1" fillId="0" borderId="16" xfId="40" applyNumberFormat="1" applyFont="1" applyFill="1" applyBorder="1" applyAlignment="1">
      <alignment horizontal="center" vertical="top" wrapText="1"/>
    </xf>
    <xf numFmtId="0" fontId="30" fillId="0" borderId="0" xfId="36" applyFont="1" applyFill="1" applyAlignment="1">
      <alignment horizontal="right" vertical="center"/>
    </xf>
    <xf numFmtId="0" fontId="31" fillId="0" borderId="20" xfId="0" applyFont="1" applyFill="1" applyBorder="1" applyAlignment="1">
      <alignment horizontal="center" vertical="center" wrapText="1"/>
    </xf>
    <xf numFmtId="2" fontId="1" fillId="0" borderId="14" xfId="40" applyNumberFormat="1" applyFont="1" applyFill="1" applyBorder="1" applyAlignment="1">
      <alignment horizontal="center" vertical="top" wrapText="1"/>
    </xf>
    <xf numFmtId="2" fontId="1" fillId="0" borderId="15" xfId="40" applyNumberFormat="1" applyFont="1" applyFill="1" applyBorder="1" applyAlignment="1">
      <alignment horizontal="center" vertical="top" wrapText="1"/>
    </xf>
    <xf numFmtId="2" fontId="1" fillId="0" borderId="16" xfId="40" applyNumberFormat="1" applyFont="1" applyFill="1" applyBorder="1" applyAlignment="1">
      <alignment horizontal="center" vertical="top" wrapText="1"/>
    </xf>
    <xf numFmtId="1" fontId="1" fillId="0" borderId="14" xfId="40" applyNumberFormat="1" applyFont="1" applyFill="1" applyBorder="1" applyAlignment="1">
      <alignment horizontal="center" vertical="top" wrapText="1"/>
    </xf>
    <xf numFmtId="1" fontId="1" fillId="0" borderId="15" xfId="40" applyNumberFormat="1" applyFont="1" applyFill="1" applyBorder="1" applyAlignment="1">
      <alignment horizontal="center" vertical="top" wrapText="1"/>
    </xf>
    <xf numFmtId="1" fontId="1" fillId="0" borderId="16" xfId="40" applyNumberFormat="1" applyFont="1" applyFill="1" applyBorder="1" applyAlignment="1">
      <alignment horizontal="center" vertical="top" wrapText="1"/>
    </xf>
    <xf numFmtId="168" fontId="1" fillId="0" borderId="14" xfId="40" applyNumberFormat="1" applyFont="1" applyFill="1" applyBorder="1" applyAlignment="1">
      <alignment horizontal="center" vertical="top" wrapText="1"/>
    </xf>
    <xf numFmtId="168" fontId="1" fillId="0" borderId="15" xfId="40" applyNumberFormat="1" applyFont="1" applyFill="1" applyBorder="1" applyAlignment="1">
      <alignment horizontal="center" vertical="top" wrapText="1"/>
    </xf>
    <xf numFmtId="168" fontId="1" fillId="0" borderId="16" xfId="40" applyNumberFormat="1" applyFont="1" applyFill="1" applyBorder="1" applyAlignment="1">
      <alignment horizontal="center" vertical="top" wrapText="1"/>
    </xf>
    <xf numFmtId="4" fontId="0" fillId="0" borderId="14" xfId="40" applyNumberFormat="1" applyFont="1" applyFill="1" applyBorder="1" applyAlignment="1">
      <alignment horizontal="center" vertical="top" wrapText="1"/>
    </xf>
    <xf numFmtId="4" fontId="0" fillId="0" borderId="15" xfId="40" applyNumberFormat="1" applyFont="1" applyFill="1" applyBorder="1" applyAlignment="1">
      <alignment horizontal="center" vertical="top" wrapText="1"/>
    </xf>
    <xf numFmtId="4" fontId="0" fillId="0" borderId="16" xfId="40" applyNumberFormat="1" applyFont="1" applyFill="1" applyBorder="1" applyAlignment="1">
      <alignment horizontal="center" vertical="top" wrapText="1"/>
    </xf>
    <xf numFmtId="0" fontId="23" fillId="0" borderId="0" xfId="36" applyFont="1" applyFill="1" applyAlignment="1">
      <alignment horizontal="right" vertical="center"/>
    </xf>
    <xf numFmtId="0" fontId="21" fillId="0" borderId="20" xfId="0" applyFont="1" applyFill="1" applyBorder="1" applyAlignment="1">
      <alignment horizontal="center" vertical="center" wrapText="1"/>
    </xf>
    <xf numFmtId="0" fontId="0" fillId="0" borderId="10" xfId="40" applyNumberFormat="1" applyFont="1" applyFill="1" applyBorder="1" applyAlignment="1">
      <alignment horizontal="center" vertical="top" wrapText="1"/>
    </xf>
    <xf numFmtId="2" fontId="0" fillId="0" borderId="10" xfId="40" applyNumberFormat="1" applyFont="1" applyFill="1" applyBorder="1" applyAlignment="1">
      <alignment horizontal="center" vertical="top" wrapText="1"/>
    </xf>
    <xf numFmtId="4" fontId="0" fillId="0" borderId="10" xfId="40" applyNumberFormat="1" applyFont="1" applyFill="1" applyBorder="1" applyAlignment="1">
      <alignment horizontal="center" vertical="top" wrapText="1"/>
    </xf>
    <xf numFmtId="1" fontId="0" fillId="0" borderId="10" xfId="40" applyNumberFormat="1" applyFont="1" applyFill="1" applyBorder="1" applyAlignment="1">
      <alignment horizontal="center" vertical="top" wrapText="1"/>
    </xf>
    <xf numFmtId="168" fontId="0" fillId="0" borderId="14" xfId="40" applyNumberFormat="1" applyFont="1" applyFill="1" applyBorder="1" applyAlignment="1">
      <alignment horizontal="center" vertical="top" wrapText="1"/>
    </xf>
    <xf numFmtId="168" fontId="0" fillId="0" borderId="15" xfId="40" applyNumberFormat="1" applyFont="1" applyFill="1" applyBorder="1" applyAlignment="1">
      <alignment horizontal="center" vertical="top" wrapText="1"/>
    </xf>
    <xf numFmtId="168" fontId="0" fillId="0" borderId="16" xfId="40" applyNumberFormat="1" applyFont="1" applyFill="1" applyBorder="1" applyAlignment="1">
      <alignment horizontal="center" vertical="top" wrapText="1"/>
    </xf>
  </cellXfs>
  <cellStyles count="57">
    <cellStyle name="Акцент1" xfId="1" builtinId="29" customBuiltin="1"/>
    <cellStyle name="Акцент1 2" xfId="2"/>
    <cellStyle name="Акцент2" xfId="3" builtinId="33" customBuiltin="1"/>
    <cellStyle name="Акцент2 2" xfId="4"/>
    <cellStyle name="Акцент3" xfId="5" builtinId="37" customBuiltin="1"/>
    <cellStyle name="Акцент3 2" xfId="6"/>
    <cellStyle name="Акцент4" xfId="7" builtinId="41" customBuiltin="1"/>
    <cellStyle name="Акцент4 2" xfId="8"/>
    <cellStyle name="Акцент5" xfId="9" builtinId="45" customBuiltin="1"/>
    <cellStyle name="Акцент5 2" xfId="10"/>
    <cellStyle name="Акцент6" xfId="11" builtinId="49" customBuiltin="1"/>
    <cellStyle name="Акцент6 2" xfId="12"/>
    <cellStyle name="Ввод " xfId="13" builtinId="20" customBuiltin="1"/>
    <cellStyle name="Ввод  2" xfId="14"/>
    <cellStyle name="Вывод" xfId="15" builtinId="21" customBuiltin="1"/>
    <cellStyle name="Вывод 2" xfId="16"/>
    <cellStyle name="Вычисление" xfId="17" builtinId="22" customBuiltin="1"/>
    <cellStyle name="Вычисление 2" xfId="18"/>
    <cellStyle name="Заголовок 1" xfId="19" builtinId="16" customBuiltin="1"/>
    <cellStyle name="Заголовок 1 2" xfId="20"/>
    <cellStyle name="Заголовок 2" xfId="21" builtinId="17" customBuiltin="1"/>
    <cellStyle name="Заголовок 2 2" xfId="22"/>
    <cellStyle name="Заголовок 3" xfId="23" builtinId="18" customBuiltin="1"/>
    <cellStyle name="Заголовок 3 2" xfId="24"/>
    <cellStyle name="Заголовок 4" xfId="25" builtinId="19" customBuiltin="1"/>
    <cellStyle name="Заголовок 4 2" xfId="26"/>
    <cellStyle name="Итог" xfId="27" builtinId="25" customBuiltin="1"/>
    <cellStyle name="Итог 2" xfId="28"/>
    <cellStyle name="Контрольная ячейка" xfId="29" builtinId="23" customBuiltin="1"/>
    <cellStyle name="Контрольная ячейка 2" xfId="30"/>
    <cellStyle name="ЛокСмета" xfId="31"/>
    <cellStyle name="Название" xfId="32" builtinId="15" customBuiltin="1"/>
    <cellStyle name="Название 2" xfId="33"/>
    <cellStyle name="Нейтральный" xfId="34" builtinId="28" customBuiltin="1"/>
    <cellStyle name="Нейтральный 2" xfId="35"/>
    <cellStyle name="Обычный" xfId="0" builtinId="0"/>
    <cellStyle name="Обычный 2" xfId="36"/>
    <cellStyle name="Обычный 2 2" xfId="37"/>
    <cellStyle name="Обычный 2 3" xfId="38"/>
    <cellStyle name="Обычный 3" xfId="39"/>
    <cellStyle name="Обычный_Объемы работ 2014-2016" xfId="40"/>
    <cellStyle name="Плохой" xfId="41" builtinId="27" customBuiltin="1"/>
    <cellStyle name="Плохой 2" xfId="42"/>
    <cellStyle name="Пояснение" xfId="43" builtinId="53" customBuiltin="1"/>
    <cellStyle name="Пояснение 2" xfId="44"/>
    <cellStyle name="Примечание" xfId="45" builtinId="10" customBuiltin="1"/>
    <cellStyle name="Примечание 2" xfId="46"/>
    <cellStyle name="Связанная ячейка" xfId="47" builtinId="24" customBuiltin="1"/>
    <cellStyle name="Связанная ячейка 2" xfId="48"/>
    <cellStyle name="Текст предупреждения" xfId="49" builtinId="11" customBuiltin="1"/>
    <cellStyle name="Текст предупреждения 2" xfId="50"/>
    <cellStyle name="Финансовый" xfId="51" builtinId="3"/>
    <cellStyle name="Финансовый 2" xfId="52"/>
    <cellStyle name="Финансовый 3" xfId="53"/>
    <cellStyle name="Финансовый 4" xfId="54"/>
    <cellStyle name="Хороший" xfId="55" builtinId="26" customBuiltin="1"/>
    <cellStyle name="Хороший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612"/>
  <sheetViews>
    <sheetView tabSelected="1" zoomScaleNormal="100" zoomScaleSheetLayoutView="100" workbookViewId="0">
      <selection activeCell="E611" sqref="E611"/>
    </sheetView>
  </sheetViews>
  <sheetFormatPr defaultRowHeight="12" x14ac:dyDescent="0.2"/>
  <cols>
    <col min="1" max="1" width="23.85546875" style="22" customWidth="1"/>
    <col min="2" max="2" width="10" style="185" customWidth="1"/>
    <col min="3" max="3" width="9" style="205" customWidth="1"/>
    <col min="4" max="4" width="17.140625" style="216" customWidth="1"/>
    <col min="5" max="7" width="17.140625" style="193" customWidth="1"/>
    <col min="8" max="9" width="17.140625" style="187" customWidth="1"/>
    <col min="10" max="10" width="17.140625" style="193" customWidth="1"/>
    <col min="11" max="11" width="16.140625" style="193" customWidth="1"/>
    <col min="12" max="12" width="16.28515625" style="193" customWidth="1"/>
    <col min="13" max="13" width="20.7109375" style="4" customWidth="1"/>
    <col min="14" max="14" width="15.42578125" style="4" customWidth="1"/>
    <col min="15" max="15" width="17.5703125" style="1" customWidth="1"/>
    <col min="16" max="16" width="20" style="8" customWidth="1"/>
    <col min="17" max="18" width="17.140625" style="8" customWidth="1"/>
    <col min="19" max="19" width="19.28515625" style="1" customWidth="1"/>
    <col min="20" max="21" width="12.28515625" style="1" bestFit="1" customWidth="1"/>
    <col min="22" max="16384" width="9.140625" style="1"/>
  </cols>
  <sheetData>
    <row r="1" spans="1:19" ht="12.75" x14ac:dyDescent="0.2">
      <c r="A1" s="276"/>
      <c r="B1" s="274"/>
      <c r="C1" s="277"/>
      <c r="D1" s="278"/>
      <c r="E1" s="279"/>
      <c r="F1" s="279"/>
      <c r="G1" s="279"/>
      <c r="H1" s="280"/>
      <c r="I1" s="280"/>
      <c r="J1" s="279"/>
      <c r="K1" s="279"/>
      <c r="L1" s="279"/>
      <c r="M1" s="5"/>
      <c r="N1" s="5"/>
    </row>
    <row r="2" spans="1:19" ht="12.75" x14ac:dyDescent="0.2">
      <c r="A2" s="276"/>
      <c r="B2" s="274"/>
      <c r="C2" s="277"/>
      <c r="D2" s="278"/>
      <c r="E2" s="279"/>
      <c r="F2" s="564" t="s">
        <v>47</v>
      </c>
      <c r="G2" s="564"/>
      <c r="H2" s="564"/>
      <c r="I2" s="564"/>
      <c r="J2" s="564"/>
      <c r="K2" s="564"/>
      <c r="L2" s="564"/>
      <c r="M2" s="127"/>
      <c r="N2" s="127"/>
    </row>
    <row r="3" spans="1:19" ht="12.75" x14ac:dyDescent="0.2">
      <c r="A3" s="274"/>
      <c r="B3" s="274"/>
      <c r="C3" s="277"/>
      <c r="D3" s="278"/>
      <c r="E3" s="279"/>
      <c r="F3" s="279"/>
      <c r="G3" s="279"/>
      <c r="H3" s="280"/>
      <c r="I3" s="280"/>
      <c r="J3" s="279"/>
      <c r="K3" s="279"/>
      <c r="L3" s="279"/>
      <c r="M3" s="6"/>
      <c r="N3" s="6"/>
    </row>
    <row r="4" spans="1:19" ht="52.5" customHeight="1" x14ac:dyDescent="0.2">
      <c r="A4" s="565"/>
      <c r="B4" s="565"/>
      <c r="C4" s="565"/>
      <c r="D4" s="565"/>
      <c r="E4" s="565"/>
      <c r="F4" s="565"/>
      <c r="G4" s="565"/>
      <c r="H4" s="565"/>
      <c r="I4" s="565"/>
      <c r="J4" s="565"/>
      <c r="K4" s="565"/>
      <c r="L4" s="565"/>
      <c r="M4" s="249"/>
      <c r="N4" s="128"/>
    </row>
    <row r="5" spans="1:19" s="2" customFormat="1" ht="12.75" customHeight="1" x14ac:dyDescent="0.2">
      <c r="A5" s="566" t="s">
        <v>97</v>
      </c>
      <c r="B5" s="566" t="s">
        <v>99</v>
      </c>
      <c r="C5" s="561" t="s">
        <v>100</v>
      </c>
      <c r="D5" s="569" t="s">
        <v>101</v>
      </c>
      <c r="E5" s="561" t="s">
        <v>102</v>
      </c>
      <c r="F5" s="561" t="s">
        <v>420</v>
      </c>
      <c r="G5" s="561" t="s">
        <v>462</v>
      </c>
      <c r="H5" s="572" t="s">
        <v>343</v>
      </c>
      <c r="I5" s="572" t="s">
        <v>417</v>
      </c>
      <c r="J5" s="561" t="s">
        <v>418</v>
      </c>
      <c r="K5" s="561" t="s">
        <v>419</v>
      </c>
      <c r="L5" s="561" t="s">
        <v>136</v>
      </c>
      <c r="M5" s="117"/>
      <c r="N5" s="129"/>
      <c r="O5" s="7"/>
      <c r="P5" s="8"/>
      <c r="Q5" s="8"/>
      <c r="R5" s="8"/>
    </row>
    <row r="6" spans="1:19" ht="12.75" x14ac:dyDescent="0.2">
      <c r="A6" s="567"/>
      <c r="B6" s="567"/>
      <c r="C6" s="562"/>
      <c r="D6" s="570"/>
      <c r="E6" s="562"/>
      <c r="F6" s="562"/>
      <c r="G6" s="562"/>
      <c r="H6" s="573"/>
      <c r="I6" s="573"/>
      <c r="J6" s="562"/>
      <c r="K6" s="562"/>
      <c r="L6" s="562"/>
      <c r="M6" s="118"/>
      <c r="N6" s="130"/>
      <c r="O6" s="3"/>
    </row>
    <row r="7" spans="1:19" s="14" customFormat="1" ht="12.75" x14ac:dyDescent="0.2">
      <c r="A7" s="568"/>
      <c r="B7" s="568"/>
      <c r="C7" s="563"/>
      <c r="D7" s="571"/>
      <c r="E7" s="563"/>
      <c r="F7" s="563"/>
      <c r="G7" s="563"/>
      <c r="H7" s="574"/>
      <c r="I7" s="574"/>
      <c r="J7" s="563"/>
      <c r="K7" s="563"/>
      <c r="L7" s="563"/>
      <c r="M7" s="119"/>
      <c r="N7" s="141"/>
      <c r="O7" s="12"/>
      <c r="P7" s="13"/>
      <c r="Q7" s="13"/>
      <c r="R7" s="13"/>
    </row>
    <row r="8" spans="1:19" s="14" customFormat="1" ht="24" x14ac:dyDescent="0.2">
      <c r="A8" s="399">
        <v>3</v>
      </c>
      <c r="B8" s="399">
        <v>4</v>
      </c>
      <c r="C8" s="399">
        <v>5</v>
      </c>
      <c r="D8" s="399">
        <v>6</v>
      </c>
      <c r="E8" s="399">
        <v>7</v>
      </c>
      <c r="F8" s="399"/>
      <c r="G8" s="399"/>
      <c r="H8" s="399"/>
      <c r="I8" s="399">
        <v>8</v>
      </c>
      <c r="J8" s="399">
        <v>9</v>
      </c>
      <c r="K8" s="399">
        <v>10</v>
      </c>
      <c r="L8" s="399">
        <v>11</v>
      </c>
      <c r="M8" s="15"/>
      <c r="N8" s="15"/>
      <c r="O8" s="12"/>
      <c r="P8" s="16" t="s">
        <v>318</v>
      </c>
      <c r="Q8" s="16" t="s">
        <v>317</v>
      </c>
      <c r="R8" s="13" t="s">
        <v>319</v>
      </c>
    </row>
    <row r="9" spans="1:19" s="20" customFormat="1" ht="12.75" hidden="1" x14ac:dyDescent="0.2">
      <c r="A9" s="237" t="s">
        <v>145</v>
      </c>
      <c r="B9" s="400"/>
      <c r="C9" s="400"/>
      <c r="D9" s="400"/>
      <c r="E9" s="400"/>
      <c r="F9" s="400"/>
      <c r="G9" s="400"/>
      <c r="H9" s="400"/>
      <c r="I9" s="400"/>
      <c r="J9" s="400"/>
      <c r="K9" s="401"/>
      <c r="L9" s="401"/>
      <c r="M9" s="17"/>
      <c r="N9" s="17"/>
      <c r="O9" s="18"/>
      <c r="P9" s="56"/>
      <c r="Q9" s="19" t="e">
        <f>L88+L89+L90+L91+L92+L93+#REF!+#REF!+L94+L105+L106+L107+L108++L109+L110+#REF!+#REF!+L111+L122+L123+L124+L125+L126+L127+#REF!+#REF!+L128+L139+L140+L141+L142+L143+L144+#REF!+#REF!+L145+L156+L157+L158+L159+L160+L161+#REF!+#REF!+L162+L173+L174+L175+L176+L177+L178+#REF!+#REF!+L179+L190+L191+L192+L193+L194+L195+#REF!+#REF!+L198</f>
        <v>#REF!</v>
      </c>
      <c r="R9" s="60" t="e">
        <f>#REF!+#REF!+#REF!+#REF!+#REF!+#REF!+#REF!+#REF!+#REF!+#REF!+#REF!+#REF!+#REF!+#REF!+#REF!+#REF!+#REF!+#REF!+#REF!+#REF!+#REF!+#REF!+#REF!+#REF!+#REF!+#REF!+#REF!+#REF!+#REF!</f>
        <v>#REF!</v>
      </c>
    </row>
    <row r="10" spans="1:19" s="20" customFormat="1" ht="25.5" hidden="1" x14ac:dyDescent="0.2">
      <c r="A10" s="219" t="s">
        <v>143</v>
      </c>
      <c r="B10" s="402"/>
      <c r="C10" s="402"/>
      <c r="D10" s="403"/>
      <c r="E10" s="402"/>
      <c r="F10" s="404"/>
      <c r="G10" s="404"/>
      <c r="H10" s="405"/>
      <c r="I10" s="405"/>
      <c r="J10" s="404"/>
      <c r="K10" s="406"/>
      <c r="L10" s="406"/>
      <c r="M10" s="61"/>
      <c r="N10" s="61"/>
      <c r="O10" s="18"/>
      <c r="P10" s="21"/>
      <c r="Q10" s="22" t="e">
        <f>Q9*0.3/0.7</f>
        <v>#REF!</v>
      </c>
      <c r="R10" s="60" t="e">
        <f>R9*0.3/0.7</f>
        <v>#REF!</v>
      </c>
    </row>
    <row r="11" spans="1:19" s="20" customFormat="1" ht="38.25" hidden="1" x14ac:dyDescent="0.2">
      <c r="A11" s="219" t="s">
        <v>147</v>
      </c>
      <c r="B11" s="407"/>
      <c r="C11" s="170"/>
      <c r="D11" s="408"/>
      <c r="E11" s="167"/>
      <c r="F11" s="409"/>
      <c r="G11" s="409"/>
      <c r="H11" s="409"/>
      <c r="I11" s="409"/>
      <c r="J11" s="167"/>
      <c r="K11" s="171"/>
      <c r="L11" s="172"/>
      <c r="M11" s="23"/>
      <c r="N11" s="23"/>
      <c r="O11" s="18"/>
      <c r="P11" s="21"/>
      <c r="Q11" s="19" t="e">
        <f>Q9+Q10</f>
        <v>#REF!</v>
      </c>
      <c r="R11" s="24" t="e">
        <f>R10+R9</f>
        <v>#REF!</v>
      </c>
      <c r="S11" s="25" t="e">
        <f>P11+Q11+R11</f>
        <v>#REF!</v>
      </c>
    </row>
    <row r="12" spans="1:19" s="20" customFormat="1" ht="25.5" hidden="1" x14ac:dyDescent="0.2">
      <c r="A12" s="412" t="s">
        <v>457</v>
      </c>
      <c r="B12" s="413" t="s">
        <v>519</v>
      </c>
      <c r="C12" s="413">
        <v>100</v>
      </c>
      <c r="D12" s="413">
        <v>1</v>
      </c>
      <c r="E12" s="414">
        <f>ROUND(C12*D12,2)</f>
        <v>100</v>
      </c>
      <c r="F12" s="415"/>
      <c r="G12" s="416">
        <v>8.6572999999999993</v>
      </c>
      <c r="H12" s="417">
        <v>2.0764999999999998</v>
      </c>
      <c r="I12" s="416">
        <f t="shared" ref="I12:I22" si="0">ROUND(G12*H12,2)</f>
        <v>17.98</v>
      </c>
      <c r="J12" s="418">
        <f>ROUND(I12*E12,2)</f>
        <v>1798</v>
      </c>
      <c r="K12" s="419">
        <f t="shared" ref="K12:K22" si="1">ROUND(J12*0.2,2)</f>
        <v>359.6</v>
      </c>
      <c r="L12" s="420">
        <f t="shared" ref="L12:L22" si="2">ROUND(K12+J12,2)</f>
        <v>2157.6</v>
      </c>
      <c r="M12" s="23"/>
      <c r="N12" s="23"/>
      <c r="O12" s="18"/>
      <c r="P12" s="21"/>
      <c r="Q12" s="19"/>
      <c r="R12" s="24"/>
      <c r="S12" s="25"/>
    </row>
    <row r="13" spans="1:19" s="20" customFormat="1" ht="51" hidden="1" x14ac:dyDescent="0.2">
      <c r="A13" s="412" t="s">
        <v>459</v>
      </c>
      <c r="B13" s="413" t="s">
        <v>432</v>
      </c>
      <c r="C13" s="413">
        <v>1</v>
      </c>
      <c r="D13" s="413">
        <v>1</v>
      </c>
      <c r="E13" s="414">
        <f>ROUND(C13*D13,2)</f>
        <v>1</v>
      </c>
      <c r="F13" s="415"/>
      <c r="G13" s="416">
        <v>55423.41</v>
      </c>
      <c r="H13" s="417">
        <v>2.0764999999999998</v>
      </c>
      <c r="I13" s="416">
        <f t="shared" si="0"/>
        <v>115086.71</v>
      </c>
      <c r="J13" s="418">
        <f>ROUND(I13*E13,2)</f>
        <v>115086.71</v>
      </c>
      <c r="K13" s="419">
        <f t="shared" si="1"/>
        <v>23017.34</v>
      </c>
      <c r="L13" s="420">
        <f t="shared" si="2"/>
        <v>138104.04999999999</v>
      </c>
      <c r="M13" s="23"/>
      <c r="N13" s="23"/>
      <c r="O13" s="18"/>
      <c r="P13" s="21"/>
      <c r="Q13" s="19"/>
      <c r="R13" s="24"/>
      <c r="S13" s="25"/>
    </row>
    <row r="14" spans="1:19" s="20" customFormat="1" ht="38.25" hidden="1" x14ac:dyDescent="0.2">
      <c r="A14" s="412" t="s">
        <v>461</v>
      </c>
      <c r="B14" s="413" t="s">
        <v>432</v>
      </c>
      <c r="C14" s="413">
        <v>1</v>
      </c>
      <c r="D14" s="413">
        <v>1</v>
      </c>
      <c r="E14" s="414">
        <f>ROUND(C14*D14,2)</f>
        <v>1</v>
      </c>
      <c r="F14" s="415"/>
      <c r="G14" s="416">
        <v>1959.47</v>
      </c>
      <c r="H14" s="417">
        <v>2.0764999999999998</v>
      </c>
      <c r="I14" s="416">
        <f t="shared" si="0"/>
        <v>4068.84</v>
      </c>
      <c r="J14" s="418">
        <f>ROUND(I14*E14,2)</f>
        <v>4068.84</v>
      </c>
      <c r="K14" s="419">
        <f t="shared" si="1"/>
        <v>813.77</v>
      </c>
      <c r="L14" s="420">
        <f t="shared" si="2"/>
        <v>4882.6099999999997</v>
      </c>
      <c r="M14" s="23"/>
      <c r="N14" s="23"/>
      <c r="O14" s="18"/>
      <c r="P14" s="21"/>
      <c r="Q14" s="19"/>
      <c r="R14" s="24"/>
      <c r="S14" s="25"/>
    </row>
    <row r="15" spans="1:19" s="20" customFormat="1" ht="51" hidden="1" x14ac:dyDescent="0.2">
      <c r="A15" s="421" t="s">
        <v>76</v>
      </c>
      <c r="B15" s="422" t="s">
        <v>421</v>
      </c>
      <c r="C15" s="422">
        <v>61.776000000000003</v>
      </c>
      <c r="D15" s="422">
        <v>1</v>
      </c>
      <c r="E15" s="422">
        <f t="shared" ref="E15:E23" si="3">ROUND(C15*D15,2)</f>
        <v>61.78</v>
      </c>
      <c r="F15" s="416"/>
      <c r="G15" s="423">
        <v>343.08</v>
      </c>
      <c r="H15" s="417">
        <v>2.0764999999999998</v>
      </c>
      <c r="I15" s="416">
        <f t="shared" si="0"/>
        <v>712.41</v>
      </c>
      <c r="J15" s="418">
        <f t="shared" ref="J15:J22" si="4">ROUND(I15*E15,2)</f>
        <v>44012.69</v>
      </c>
      <c r="K15" s="419">
        <f t="shared" si="1"/>
        <v>8802.5400000000009</v>
      </c>
      <c r="L15" s="420">
        <f t="shared" si="2"/>
        <v>52815.23</v>
      </c>
      <c r="M15" s="64"/>
      <c r="N15" s="77">
        <v>67934.22</v>
      </c>
      <c r="O15" s="79">
        <v>67933.97</v>
      </c>
      <c r="P15" s="26"/>
      <c r="Q15" s="22"/>
      <c r="R15" s="22"/>
    </row>
    <row r="16" spans="1:19" s="20" customFormat="1" ht="114.75" hidden="1" x14ac:dyDescent="0.2">
      <c r="A16" s="424" t="s">
        <v>149</v>
      </c>
      <c r="B16" s="422" t="s">
        <v>421</v>
      </c>
      <c r="C16" s="422">
        <v>182.04</v>
      </c>
      <c r="D16" s="422">
        <v>3</v>
      </c>
      <c r="E16" s="422">
        <f>ROUND(C16*D16,2)</f>
        <v>546.12</v>
      </c>
      <c r="F16" s="416"/>
      <c r="G16" s="423">
        <v>188.57</v>
      </c>
      <c r="H16" s="417">
        <v>2.0764999999999998</v>
      </c>
      <c r="I16" s="416">
        <f t="shared" si="0"/>
        <v>391.57</v>
      </c>
      <c r="J16" s="418">
        <f t="shared" si="4"/>
        <v>213844.21</v>
      </c>
      <c r="K16" s="419">
        <f t="shared" si="1"/>
        <v>42768.84</v>
      </c>
      <c r="L16" s="420">
        <f t="shared" si="2"/>
        <v>256613.05</v>
      </c>
      <c r="M16" s="64"/>
      <c r="N16" s="77">
        <v>110027.89</v>
      </c>
      <c r="O16" s="79">
        <v>165042.93</v>
      </c>
      <c r="P16" s="26"/>
      <c r="Q16" s="22"/>
      <c r="R16" s="22"/>
    </row>
    <row r="17" spans="1:18" s="20" customFormat="1" ht="89.25" hidden="1" x14ac:dyDescent="0.2">
      <c r="A17" s="411" t="s">
        <v>78</v>
      </c>
      <c r="B17" s="422" t="s">
        <v>421</v>
      </c>
      <c r="C17" s="422">
        <v>378.48</v>
      </c>
      <c r="D17" s="422">
        <v>3</v>
      </c>
      <c r="E17" s="422">
        <f t="shared" si="3"/>
        <v>1135.44</v>
      </c>
      <c r="F17" s="416"/>
      <c r="G17" s="423">
        <v>188.57</v>
      </c>
      <c r="H17" s="417">
        <v>2.0764999999999998</v>
      </c>
      <c r="I17" s="416">
        <f t="shared" si="0"/>
        <v>391.57</v>
      </c>
      <c r="J17" s="418">
        <f t="shared" si="4"/>
        <v>444604.24</v>
      </c>
      <c r="K17" s="419">
        <f t="shared" si="1"/>
        <v>88920.85</v>
      </c>
      <c r="L17" s="420">
        <f t="shared" si="2"/>
        <v>533525.09</v>
      </c>
      <c r="M17" s="64"/>
      <c r="N17" s="77">
        <v>114379.68</v>
      </c>
      <c r="O17" s="79">
        <v>228760.88</v>
      </c>
      <c r="P17" s="26"/>
      <c r="Q17" s="22"/>
      <c r="R17" s="22"/>
    </row>
    <row r="18" spans="1:18" s="20" customFormat="1" ht="76.5" hidden="1" x14ac:dyDescent="0.2">
      <c r="A18" s="411" t="s">
        <v>79</v>
      </c>
      <c r="B18" s="422" t="s">
        <v>421</v>
      </c>
      <c r="C18" s="425">
        <v>57.24</v>
      </c>
      <c r="D18" s="425">
        <v>1</v>
      </c>
      <c r="E18" s="425">
        <f t="shared" si="3"/>
        <v>57.24</v>
      </c>
      <c r="F18" s="416"/>
      <c r="G18" s="423">
        <v>188.57</v>
      </c>
      <c r="H18" s="417">
        <v>2.0764999999999998</v>
      </c>
      <c r="I18" s="416">
        <f t="shared" si="0"/>
        <v>391.57</v>
      </c>
      <c r="J18" s="418">
        <f t="shared" si="4"/>
        <v>22413.47</v>
      </c>
      <c r="K18" s="419">
        <f t="shared" si="1"/>
        <v>4482.6899999999996</v>
      </c>
      <c r="L18" s="420">
        <f t="shared" si="2"/>
        <v>26896.16</v>
      </c>
      <c r="M18" s="64"/>
      <c r="N18" s="77"/>
      <c r="O18" s="79"/>
      <c r="P18" s="26"/>
      <c r="Q18" s="22"/>
      <c r="R18" s="22"/>
    </row>
    <row r="19" spans="1:18" s="20" customFormat="1" ht="63.75" hidden="1" x14ac:dyDescent="0.2">
      <c r="A19" s="411" t="s">
        <v>64</v>
      </c>
      <c r="B19" s="422" t="s">
        <v>411</v>
      </c>
      <c r="C19" s="422">
        <f>20.08+4.61+0.42</f>
        <v>25.11</v>
      </c>
      <c r="D19" s="422">
        <v>3</v>
      </c>
      <c r="E19" s="425">
        <f t="shared" si="3"/>
        <v>75.33</v>
      </c>
      <c r="F19" s="416"/>
      <c r="G19" s="423">
        <v>44.32</v>
      </c>
      <c r="H19" s="417">
        <v>2.0764999999999998</v>
      </c>
      <c r="I19" s="416">
        <f t="shared" si="0"/>
        <v>92.03</v>
      </c>
      <c r="J19" s="418">
        <f t="shared" si="4"/>
        <v>6932.62</v>
      </c>
      <c r="K19" s="419">
        <f t="shared" si="1"/>
        <v>1386.52</v>
      </c>
      <c r="L19" s="420">
        <f t="shared" si="2"/>
        <v>8319.14</v>
      </c>
      <c r="M19" s="64"/>
      <c r="N19" s="77">
        <v>2699.06</v>
      </c>
      <c r="O19" s="79">
        <v>1349.57</v>
      </c>
      <c r="P19" s="26"/>
      <c r="Q19" s="22"/>
      <c r="R19" s="22"/>
    </row>
    <row r="20" spans="1:18" s="20" customFormat="1" ht="25.5" hidden="1" x14ac:dyDescent="0.2">
      <c r="A20" s="411" t="s">
        <v>80</v>
      </c>
      <c r="B20" s="422" t="s">
        <v>411</v>
      </c>
      <c r="C20" s="422">
        <v>10.86</v>
      </c>
      <c r="D20" s="422">
        <v>3</v>
      </c>
      <c r="E20" s="425">
        <f t="shared" si="3"/>
        <v>32.58</v>
      </c>
      <c r="F20" s="416"/>
      <c r="G20" s="423">
        <v>66.5</v>
      </c>
      <c r="H20" s="417">
        <v>2.0764999999999998</v>
      </c>
      <c r="I20" s="416">
        <f t="shared" si="0"/>
        <v>138.09</v>
      </c>
      <c r="J20" s="418">
        <f t="shared" si="4"/>
        <v>4498.97</v>
      </c>
      <c r="K20" s="419">
        <f t="shared" si="1"/>
        <v>899.79</v>
      </c>
      <c r="L20" s="420">
        <f t="shared" si="2"/>
        <v>5398.76</v>
      </c>
      <c r="M20" s="64"/>
      <c r="N20" s="77">
        <v>4629.49</v>
      </c>
      <c r="O20" s="79">
        <v>2314.6999999999998</v>
      </c>
      <c r="P20" s="26"/>
      <c r="Q20" s="22"/>
      <c r="R20" s="22"/>
    </row>
    <row r="21" spans="1:18" s="20" customFormat="1" ht="76.5" hidden="1" x14ac:dyDescent="0.2">
      <c r="A21" s="411" t="s">
        <v>316</v>
      </c>
      <c r="B21" s="422" t="s">
        <v>422</v>
      </c>
      <c r="C21" s="422">
        <v>4</v>
      </c>
      <c r="D21" s="422">
        <v>3</v>
      </c>
      <c r="E21" s="422">
        <f t="shared" si="3"/>
        <v>12</v>
      </c>
      <c r="F21" s="416"/>
      <c r="G21" s="423">
        <v>218.45</v>
      </c>
      <c r="H21" s="417">
        <v>2.0764999999999998</v>
      </c>
      <c r="I21" s="416">
        <f t="shared" si="0"/>
        <v>453.61</v>
      </c>
      <c r="J21" s="418">
        <f>ROUND(I21*E21,2)</f>
        <v>5443.32</v>
      </c>
      <c r="K21" s="419">
        <f t="shared" si="1"/>
        <v>1088.6600000000001</v>
      </c>
      <c r="L21" s="420">
        <f t="shared" si="2"/>
        <v>6531.98</v>
      </c>
      <c r="M21" s="64"/>
      <c r="N21" s="77">
        <v>4201.34</v>
      </c>
      <c r="O21" s="79">
        <v>4201.4399999999996</v>
      </c>
      <c r="P21" s="26"/>
      <c r="Q21" s="22"/>
      <c r="R21" s="22"/>
    </row>
    <row r="22" spans="1:18" s="20" customFormat="1" ht="51" hidden="1" x14ac:dyDescent="0.2">
      <c r="A22" s="411" t="s">
        <v>106</v>
      </c>
      <c r="B22" s="422" t="s">
        <v>421</v>
      </c>
      <c r="C22" s="422">
        <v>280.26</v>
      </c>
      <c r="D22" s="422">
        <v>3</v>
      </c>
      <c r="E22" s="422">
        <f t="shared" si="3"/>
        <v>840.78</v>
      </c>
      <c r="F22" s="416"/>
      <c r="G22" s="423">
        <v>241.57</v>
      </c>
      <c r="H22" s="417">
        <v>2.0764999999999998</v>
      </c>
      <c r="I22" s="416">
        <f t="shared" si="0"/>
        <v>501.62</v>
      </c>
      <c r="J22" s="418">
        <f t="shared" si="4"/>
        <v>421752.06</v>
      </c>
      <c r="K22" s="419">
        <f t="shared" si="1"/>
        <v>84350.41</v>
      </c>
      <c r="L22" s="420">
        <f t="shared" si="2"/>
        <v>506102.47</v>
      </c>
      <c r="M22" s="64"/>
      <c r="N22" s="77">
        <v>217008.68</v>
      </c>
      <c r="O22" s="79">
        <v>325516.38</v>
      </c>
      <c r="P22" s="26"/>
      <c r="Q22" s="22"/>
      <c r="R22" s="22"/>
    </row>
    <row r="23" spans="1:18" s="20" customFormat="1" ht="89.25" hidden="1" customHeight="1" x14ac:dyDescent="0.2">
      <c r="A23" s="411" t="s">
        <v>504</v>
      </c>
      <c r="B23" s="422" t="s">
        <v>355</v>
      </c>
      <c r="C23" s="422">
        <v>4</v>
      </c>
      <c r="D23" s="422">
        <v>3</v>
      </c>
      <c r="E23" s="422">
        <f t="shared" si="3"/>
        <v>12</v>
      </c>
      <c r="F23" s="416"/>
      <c r="G23" s="416">
        <v>4405.2299999999996</v>
      </c>
      <c r="H23" s="417">
        <v>1.0680000000000001</v>
      </c>
      <c r="I23" s="416">
        <f>ROUND(G23*H23,2)</f>
        <v>4704.79</v>
      </c>
      <c r="J23" s="418">
        <f>ROUND(I23*E23,2)</f>
        <v>56457.48</v>
      </c>
      <c r="K23" s="419">
        <f>ROUND(J23*0.2,2)</f>
        <v>11291.5</v>
      </c>
      <c r="L23" s="420">
        <f>ROUND(K23+J23,2)</f>
        <v>67748.98</v>
      </c>
      <c r="M23" s="64"/>
      <c r="N23" s="77"/>
      <c r="O23" s="79"/>
      <c r="P23" s="26"/>
      <c r="Q23" s="22"/>
      <c r="R23" s="22"/>
    </row>
    <row r="24" spans="1:18" s="20" customFormat="1" ht="25.5" hidden="1" x14ac:dyDescent="0.2">
      <c r="A24" s="219" t="s">
        <v>81</v>
      </c>
      <c r="B24" s="422"/>
      <c r="C24" s="422"/>
      <c r="D24" s="422"/>
      <c r="E24" s="422"/>
      <c r="F24" s="422"/>
      <c r="G24" s="423"/>
      <c r="H24" s="417"/>
      <c r="I24" s="416"/>
      <c r="J24" s="418"/>
      <c r="K24" s="419"/>
      <c r="L24" s="420"/>
      <c r="M24" s="64"/>
      <c r="N24" s="77"/>
      <c r="O24" s="18"/>
      <c r="P24" s="26"/>
      <c r="Q24" s="22"/>
      <c r="R24" s="22"/>
    </row>
    <row r="25" spans="1:18" s="20" customFormat="1" ht="114.75" hidden="1" x14ac:dyDescent="0.2">
      <c r="A25" s="411" t="s">
        <v>107</v>
      </c>
      <c r="B25" s="422" t="s">
        <v>411</v>
      </c>
      <c r="C25" s="422">
        <f>23.43*0.2</f>
        <v>4.6859999999999999</v>
      </c>
      <c r="D25" s="422">
        <v>1</v>
      </c>
      <c r="E25" s="422">
        <f t="shared" ref="E25:E31" si="5">ROUND(C25*D25,2)</f>
        <v>4.6900000000000004</v>
      </c>
      <c r="F25" s="416"/>
      <c r="G25" s="423">
        <v>64649.39</v>
      </c>
      <c r="H25" s="417">
        <v>2.0764999999999998</v>
      </c>
      <c r="I25" s="416">
        <f t="shared" ref="I25:I31" si="6">ROUND(G25*H25,2)</f>
        <v>134244.46</v>
      </c>
      <c r="J25" s="418">
        <f t="shared" ref="J25:J31" si="7">ROUND(I25*E25,2)</f>
        <v>629606.52</v>
      </c>
      <c r="K25" s="419">
        <f t="shared" ref="K25:K31" si="8">ROUND(J25*0.2,2)</f>
        <v>125921.3</v>
      </c>
      <c r="L25" s="420">
        <f t="shared" ref="L25:L31" si="9">ROUND(K25+J25,2)</f>
        <v>755527.82</v>
      </c>
      <c r="M25" s="64">
        <f>L25+L26+L27</f>
        <v>3455395.98</v>
      </c>
      <c r="N25" s="77">
        <v>1214347.79</v>
      </c>
      <c r="O25" s="79">
        <v>2427659.38</v>
      </c>
      <c r="P25" s="26"/>
      <c r="Q25" s="22">
        <f>1854.7+1937.2</f>
        <v>3791.9</v>
      </c>
      <c r="R25" s="22">
        <f>Q25*0.0005*1000</f>
        <v>1895.95</v>
      </c>
    </row>
    <row r="26" spans="1:18" s="20" customFormat="1" ht="127.5" hidden="1" x14ac:dyDescent="0.2">
      <c r="A26" s="411" t="s">
        <v>108</v>
      </c>
      <c r="B26" s="422" t="s">
        <v>411</v>
      </c>
      <c r="C26" s="422">
        <f>17.22*0.4</f>
        <v>6.8879999999999999</v>
      </c>
      <c r="D26" s="422">
        <v>1</v>
      </c>
      <c r="E26" s="422">
        <f t="shared" si="5"/>
        <v>6.89</v>
      </c>
      <c r="F26" s="416"/>
      <c r="G26" s="423">
        <v>77125.899999999994</v>
      </c>
      <c r="H26" s="417">
        <v>2.0764999999999998</v>
      </c>
      <c r="I26" s="416">
        <f t="shared" si="6"/>
        <v>160151.93</v>
      </c>
      <c r="J26" s="418">
        <f t="shared" si="7"/>
        <v>1103446.8</v>
      </c>
      <c r="K26" s="419">
        <f t="shared" si="8"/>
        <v>220689.36</v>
      </c>
      <c r="L26" s="420">
        <f t="shared" si="9"/>
        <v>1324136.1599999999</v>
      </c>
      <c r="M26" s="64"/>
      <c r="N26" s="77">
        <v>1064276.48</v>
      </c>
      <c r="O26" s="79">
        <v>2128552.83</v>
      </c>
      <c r="P26" s="22"/>
      <c r="Q26" s="22"/>
      <c r="R26" s="22"/>
    </row>
    <row r="27" spans="1:18" s="20" customFormat="1" ht="63.75" hidden="1" x14ac:dyDescent="0.2">
      <c r="A27" s="411" t="s">
        <v>125</v>
      </c>
      <c r="B27" s="422" t="s">
        <v>434</v>
      </c>
      <c r="C27" s="422">
        <f>2186*0.8</f>
        <v>1748.8000000000002</v>
      </c>
      <c r="D27" s="422">
        <v>1</v>
      </c>
      <c r="E27" s="422">
        <f t="shared" si="5"/>
        <v>1748.8</v>
      </c>
      <c r="F27" s="416"/>
      <c r="G27" s="423">
        <v>315.7047</v>
      </c>
      <c r="H27" s="417">
        <v>2.0764999999999998</v>
      </c>
      <c r="I27" s="416">
        <f t="shared" si="6"/>
        <v>655.56</v>
      </c>
      <c r="J27" s="418">
        <f t="shared" si="7"/>
        <v>1146443.33</v>
      </c>
      <c r="K27" s="419">
        <f t="shared" si="8"/>
        <v>229288.67</v>
      </c>
      <c r="L27" s="420">
        <f t="shared" si="9"/>
        <v>1375732</v>
      </c>
      <c r="M27" s="64"/>
      <c r="N27" s="77">
        <v>553049.26</v>
      </c>
      <c r="O27" s="79">
        <v>1106094.1399999999</v>
      </c>
      <c r="P27" s="22"/>
      <c r="Q27" s="22"/>
      <c r="R27" s="22"/>
    </row>
    <row r="28" spans="1:18" s="20" customFormat="1" ht="38.25" hidden="1" x14ac:dyDescent="0.2">
      <c r="A28" s="411" t="s">
        <v>82</v>
      </c>
      <c r="B28" s="422" t="s">
        <v>430</v>
      </c>
      <c r="C28" s="422">
        <f>1139*0.5</f>
        <v>569.5</v>
      </c>
      <c r="D28" s="422">
        <v>1</v>
      </c>
      <c r="E28" s="422">
        <f t="shared" si="5"/>
        <v>569.5</v>
      </c>
      <c r="F28" s="416"/>
      <c r="G28" s="423">
        <v>35.799999999999997</v>
      </c>
      <c r="H28" s="417">
        <v>2.0764999999999998</v>
      </c>
      <c r="I28" s="416">
        <f t="shared" si="6"/>
        <v>74.34</v>
      </c>
      <c r="J28" s="418">
        <f t="shared" si="7"/>
        <v>42336.63</v>
      </c>
      <c r="K28" s="419">
        <f t="shared" si="8"/>
        <v>8467.33</v>
      </c>
      <c r="L28" s="420">
        <f t="shared" si="9"/>
        <v>50803.96</v>
      </c>
      <c r="M28" s="64"/>
      <c r="N28" s="77">
        <v>65360.380000000005</v>
      </c>
      <c r="O28" s="18">
        <v>65359.35</v>
      </c>
      <c r="P28" s="22"/>
      <c r="Q28" s="22"/>
      <c r="R28" s="22"/>
    </row>
    <row r="29" spans="1:18" s="20" customFormat="1" ht="89.25" hidden="1" x14ac:dyDescent="0.2">
      <c r="A29" s="411" t="s">
        <v>109</v>
      </c>
      <c r="B29" s="422" t="s">
        <v>431</v>
      </c>
      <c r="C29" s="422">
        <f>23.65*0.5</f>
        <v>11.824999999999999</v>
      </c>
      <c r="D29" s="422">
        <v>1</v>
      </c>
      <c r="E29" s="422">
        <f t="shared" si="5"/>
        <v>11.83</v>
      </c>
      <c r="F29" s="416"/>
      <c r="G29" s="426">
        <v>11575.11</v>
      </c>
      <c r="H29" s="417">
        <v>2.0764999999999998</v>
      </c>
      <c r="I29" s="416">
        <f t="shared" si="6"/>
        <v>24035.72</v>
      </c>
      <c r="J29" s="418">
        <f t="shared" si="7"/>
        <v>284342.57</v>
      </c>
      <c r="K29" s="419">
        <f t="shared" si="8"/>
        <v>56868.51</v>
      </c>
      <c r="L29" s="420">
        <f t="shared" si="9"/>
        <v>341211.08</v>
      </c>
      <c r="M29" s="64"/>
      <c r="N29" s="77">
        <v>438740.33</v>
      </c>
      <c r="O29" s="18">
        <v>438740.37</v>
      </c>
      <c r="P29" s="22"/>
      <c r="Q29" s="22"/>
      <c r="R29" s="22"/>
    </row>
    <row r="30" spans="1:18" s="20" customFormat="1" ht="76.5" hidden="1" x14ac:dyDescent="0.2">
      <c r="A30" s="411" t="s">
        <v>110</v>
      </c>
      <c r="B30" s="422" t="s">
        <v>431</v>
      </c>
      <c r="C30" s="422">
        <v>171.72</v>
      </c>
      <c r="D30" s="422">
        <v>4</v>
      </c>
      <c r="E30" s="422">
        <f t="shared" si="5"/>
        <v>686.88</v>
      </c>
      <c r="F30" s="416"/>
      <c r="G30" s="426">
        <v>283.41000000000003</v>
      </c>
      <c r="H30" s="417">
        <v>2.0764999999999998</v>
      </c>
      <c r="I30" s="416">
        <f t="shared" si="6"/>
        <v>588.5</v>
      </c>
      <c r="J30" s="418">
        <f t="shared" si="7"/>
        <v>404228.88</v>
      </c>
      <c r="K30" s="419">
        <f t="shared" si="8"/>
        <v>80845.78</v>
      </c>
      <c r="L30" s="420">
        <f t="shared" si="9"/>
        <v>485074.66</v>
      </c>
      <c r="M30" s="64"/>
      <c r="N30" s="77">
        <v>468008.44000000006</v>
      </c>
      <c r="O30" s="79">
        <v>312001.5</v>
      </c>
      <c r="P30" s="22"/>
      <c r="Q30" s="22"/>
      <c r="R30" s="22"/>
    </row>
    <row r="31" spans="1:18" s="20" customFormat="1" ht="38.25" hidden="1" x14ac:dyDescent="0.2">
      <c r="A31" s="412" t="s">
        <v>464</v>
      </c>
      <c r="B31" s="413" t="s">
        <v>118</v>
      </c>
      <c r="C31" s="413">
        <v>1</v>
      </c>
      <c r="D31" s="413">
        <v>1</v>
      </c>
      <c r="E31" s="422">
        <f t="shared" si="5"/>
        <v>1</v>
      </c>
      <c r="F31" s="427"/>
      <c r="G31" s="416">
        <v>38457.4</v>
      </c>
      <c r="H31" s="417">
        <v>2.0764999999999998</v>
      </c>
      <c r="I31" s="416">
        <f t="shared" si="6"/>
        <v>79856.789999999994</v>
      </c>
      <c r="J31" s="418">
        <f t="shared" si="7"/>
        <v>79856.789999999994</v>
      </c>
      <c r="K31" s="419">
        <f t="shared" si="8"/>
        <v>15971.36</v>
      </c>
      <c r="L31" s="420">
        <f t="shared" si="9"/>
        <v>95828.15</v>
      </c>
      <c r="M31" s="64"/>
      <c r="N31" s="77"/>
      <c r="O31" s="79"/>
      <c r="P31" s="22"/>
      <c r="Q31" s="22"/>
      <c r="R31" s="22"/>
    </row>
    <row r="32" spans="1:18" s="20" customFormat="1" ht="38.25" hidden="1" x14ac:dyDescent="0.2">
      <c r="A32" s="219" t="s">
        <v>83</v>
      </c>
      <c r="B32" s="422"/>
      <c r="C32" s="422"/>
      <c r="D32" s="422"/>
      <c r="E32" s="422"/>
      <c r="F32" s="422"/>
      <c r="G32" s="426"/>
      <c r="H32" s="417"/>
      <c r="I32" s="416"/>
      <c r="J32" s="418"/>
      <c r="K32" s="419"/>
      <c r="L32" s="420"/>
      <c r="M32" s="64"/>
      <c r="N32" s="77"/>
      <c r="O32" s="18"/>
      <c r="P32" s="22"/>
      <c r="Q32" s="22"/>
      <c r="R32" s="22"/>
    </row>
    <row r="33" spans="1:18" s="20" customFormat="1" ht="25.5" hidden="1" x14ac:dyDescent="0.2">
      <c r="A33" s="411" t="s">
        <v>84</v>
      </c>
      <c r="B33" s="422" t="s">
        <v>433</v>
      </c>
      <c r="C33" s="422">
        <f>1086</f>
        <v>1086</v>
      </c>
      <c r="D33" s="422">
        <v>1</v>
      </c>
      <c r="E33" s="422">
        <f>ROUND(C33*D33,2)</f>
        <v>1086</v>
      </c>
      <c r="F33" s="416"/>
      <c r="G33" s="426">
        <v>77.2</v>
      </c>
      <c r="H33" s="417">
        <v>2.0764999999999998</v>
      </c>
      <c r="I33" s="416">
        <f>ROUND(G33*H33,2)</f>
        <v>160.31</v>
      </c>
      <c r="J33" s="418">
        <f>ROUND(I33*E33,2)</f>
        <v>174096.66</v>
      </c>
      <c r="K33" s="419">
        <f>ROUND(J33*0.2,2)</f>
        <v>34819.33</v>
      </c>
      <c r="L33" s="420">
        <f>ROUND(K33+J33,2)</f>
        <v>208915.99</v>
      </c>
      <c r="M33" s="64"/>
      <c r="N33" s="77">
        <v>134359.92000000001</v>
      </c>
      <c r="O33" s="79">
        <v>134362.09</v>
      </c>
      <c r="P33" s="22"/>
      <c r="Q33" s="22"/>
      <c r="R33" s="22"/>
    </row>
    <row r="34" spans="1:18" s="20" customFormat="1" ht="25.5" hidden="1" x14ac:dyDescent="0.2">
      <c r="A34" s="411" t="s">
        <v>85</v>
      </c>
      <c r="B34" s="422" t="s">
        <v>434</v>
      </c>
      <c r="C34" s="422">
        <f>73</f>
        <v>73</v>
      </c>
      <c r="D34" s="422">
        <v>1</v>
      </c>
      <c r="E34" s="422">
        <f>ROUND(C34*D34,2)</f>
        <v>73</v>
      </c>
      <c r="F34" s="416"/>
      <c r="G34" s="426">
        <v>1547.81</v>
      </c>
      <c r="H34" s="417">
        <v>2.0764999999999998</v>
      </c>
      <c r="I34" s="416">
        <f>ROUND(G34*H34,2)</f>
        <v>3214.03</v>
      </c>
      <c r="J34" s="418">
        <f>ROUND(I34*E34,2)</f>
        <v>234624.19</v>
      </c>
      <c r="K34" s="419">
        <f>ROUND(J34*0.2,2)</f>
        <v>46924.84</v>
      </c>
      <c r="L34" s="420">
        <f>ROUND(K34+J34,2)</f>
        <v>281549.03000000003</v>
      </c>
      <c r="M34" s="64"/>
      <c r="N34" s="77">
        <v>181088.47</v>
      </c>
      <c r="O34" s="18">
        <v>181088.55</v>
      </c>
      <c r="P34" s="22"/>
      <c r="Q34" s="22"/>
      <c r="R34" s="22"/>
    </row>
    <row r="35" spans="1:18" s="20" customFormat="1" ht="38.25" hidden="1" x14ac:dyDescent="0.2">
      <c r="A35" s="219" t="s">
        <v>86</v>
      </c>
      <c r="B35" s="422"/>
      <c r="C35" s="422"/>
      <c r="D35" s="422"/>
      <c r="E35" s="422"/>
      <c r="F35" s="422"/>
      <c r="G35" s="426"/>
      <c r="H35" s="417"/>
      <c r="I35" s="416"/>
      <c r="J35" s="418"/>
      <c r="K35" s="419"/>
      <c r="L35" s="420"/>
      <c r="M35" s="64"/>
      <c r="N35" s="77"/>
      <c r="O35" s="18"/>
      <c r="P35" s="22"/>
      <c r="Q35" s="22"/>
      <c r="R35" s="22"/>
    </row>
    <row r="36" spans="1:18" s="20" customFormat="1" ht="25.5" hidden="1" x14ac:dyDescent="0.2">
      <c r="A36" s="411" t="s">
        <v>87</v>
      </c>
      <c r="B36" s="422" t="s">
        <v>435</v>
      </c>
      <c r="C36" s="422">
        <f>904</f>
        <v>904</v>
      </c>
      <c r="D36" s="422">
        <v>1</v>
      </c>
      <c r="E36" s="422">
        <f t="shared" ref="E36:E42" si="10">ROUND(C36*D36,2)</f>
        <v>904</v>
      </c>
      <c r="F36" s="416"/>
      <c r="G36" s="426">
        <v>108.09</v>
      </c>
      <c r="H36" s="417">
        <v>2.0764999999999998</v>
      </c>
      <c r="I36" s="416">
        <f t="shared" ref="I36:I48" si="11">ROUND(G36*H36,2)</f>
        <v>224.45</v>
      </c>
      <c r="J36" s="418">
        <f t="shared" ref="J36:J48" si="12">ROUND(I36*E36,2)</f>
        <v>202902.8</v>
      </c>
      <c r="K36" s="419">
        <f>ROUND(J36*0.2,2)</f>
        <v>40580.559999999998</v>
      </c>
      <c r="L36" s="420">
        <f t="shared" ref="L36:L48" si="13">ROUND(K36+J36,2)</f>
        <v>243483.36</v>
      </c>
      <c r="M36" s="64"/>
      <c r="N36" s="77">
        <v>156601.73000000001</v>
      </c>
      <c r="O36" s="18">
        <v>46945.84</v>
      </c>
      <c r="P36" s="22"/>
      <c r="Q36" s="22"/>
      <c r="R36" s="22"/>
    </row>
    <row r="37" spans="1:18" s="20" customFormat="1" ht="63.75" hidden="1" x14ac:dyDescent="0.2">
      <c r="A37" s="411" t="s">
        <v>465</v>
      </c>
      <c r="B37" s="422" t="s">
        <v>435</v>
      </c>
      <c r="C37" s="422">
        <f>50</f>
        <v>50</v>
      </c>
      <c r="D37" s="422">
        <v>1</v>
      </c>
      <c r="E37" s="422">
        <f t="shared" si="10"/>
        <v>50</v>
      </c>
      <c r="F37" s="416"/>
      <c r="G37" s="426">
        <v>3286.73</v>
      </c>
      <c r="H37" s="417">
        <v>2.0764999999999998</v>
      </c>
      <c r="I37" s="416">
        <f t="shared" si="11"/>
        <v>6824.89</v>
      </c>
      <c r="J37" s="418">
        <f t="shared" si="12"/>
        <v>341244.5</v>
      </c>
      <c r="K37" s="419">
        <f>ROUND(J37*0.2,2)</f>
        <v>68248.899999999994</v>
      </c>
      <c r="L37" s="420">
        <f t="shared" si="13"/>
        <v>409493.4</v>
      </c>
      <c r="M37" s="64"/>
      <c r="N37" s="77">
        <v>474086.51999999996</v>
      </c>
      <c r="O37" s="18">
        <v>526763.34</v>
      </c>
      <c r="P37" s="22"/>
      <c r="Q37" s="22"/>
      <c r="R37" s="22"/>
    </row>
    <row r="38" spans="1:18" s="20" customFormat="1" ht="63.75" hidden="1" x14ac:dyDescent="0.2">
      <c r="A38" s="411" t="s">
        <v>506</v>
      </c>
      <c r="B38" s="422" t="s">
        <v>435</v>
      </c>
      <c r="C38" s="422">
        <f>20</f>
        <v>20</v>
      </c>
      <c r="D38" s="422">
        <v>1</v>
      </c>
      <c r="E38" s="422">
        <f t="shared" si="10"/>
        <v>20</v>
      </c>
      <c r="F38" s="422"/>
      <c r="G38" s="426">
        <v>6596.71</v>
      </c>
      <c r="H38" s="417">
        <v>2.0764999999999998</v>
      </c>
      <c r="I38" s="416">
        <f t="shared" si="11"/>
        <v>13698.07</v>
      </c>
      <c r="J38" s="418">
        <f t="shared" si="12"/>
        <v>273961.40000000002</v>
      </c>
      <c r="K38" s="419">
        <f>ROUND(J38*0.2,2)</f>
        <v>54792.28</v>
      </c>
      <c r="L38" s="420">
        <f t="shared" si="13"/>
        <v>328753.68</v>
      </c>
      <c r="M38" s="64"/>
      <c r="N38" s="77">
        <v>317175.48000000004</v>
      </c>
      <c r="O38" s="18">
        <v>105725.18</v>
      </c>
      <c r="P38" s="22"/>
      <c r="Q38" s="22"/>
      <c r="R38" s="22"/>
    </row>
    <row r="39" spans="1:18" s="20" customFormat="1" ht="25.5" hidden="1" x14ac:dyDescent="0.2">
      <c r="A39" s="411" t="s">
        <v>140</v>
      </c>
      <c r="B39" s="422" t="s">
        <v>435</v>
      </c>
      <c r="C39" s="422">
        <f>30</f>
        <v>30</v>
      </c>
      <c r="D39" s="422">
        <v>1</v>
      </c>
      <c r="E39" s="422">
        <f t="shared" si="10"/>
        <v>30</v>
      </c>
      <c r="F39" s="416"/>
      <c r="G39" s="426">
        <v>2893.7</v>
      </c>
      <c r="H39" s="417">
        <v>2.0764999999999998</v>
      </c>
      <c r="I39" s="416">
        <f t="shared" si="11"/>
        <v>6008.77</v>
      </c>
      <c r="J39" s="418">
        <f t="shared" si="12"/>
        <v>180263.1</v>
      </c>
      <c r="K39" s="419">
        <f t="shared" ref="K39:K48" si="14">ROUND(J39*0.2,2)</f>
        <v>36052.620000000003</v>
      </c>
      <c r="L39" s="420">
        <f t="shared" si="13"/>
        <v>216315.72</v>
      </c>
      <c r="M39" s="64"/>
      <c r="N39" s="77">
        <v>139131.36000000002</v>
      </c>
      <c r="O39" s="18">
        <v>139131.42000000001</v>
      </c>
      <c r="P39" s="22"/>
      <c r="Q39" s="22"/>
      <c r="R39" s="22"/>
    </row>
    <row r="40" spans="1:18" s="20" customFormat="1" ht="38.25" hidden="1" x14ac:dyDescent="0.2">
      <c r="A40" s="411" t="s">
        <v>112</v>
      </c>
      <c r="B40" s="422" t="s">
        <v>435</v>
      </c>
      <c r="C40" s="422">
        <v>100</v>
      </c>
      <c r="D40" s="422">
        <v>1</v>
      </c>
      <c r="E40" s="422">
        <f t="shared" si="10"/>
        <v>100</v>
      </c>
      <c r="F40" s="416"/>
      <c r="G40" s="426">
        <v>643.77</v>
      </c>
      <c r="H40" s="417">
        <v>2.0764999999999998</v>
      </c>
      <c r="I40" s="416">
        <f t="shared" si="11"/>
        <v>1336.79</v>
      </c>
      <c r="J40" s="418">
        <f t="shared" si="12"/>
        <v>133679</v>
      </c>
      <c r="K40" s="419">
        <f t="shared" si="14"/>
        <v>26735.8</v>
      </c>
      <c r="L40" s="420">
        <f t="shared" si="13"/>
        <v>160414.79999999999</v>
      </c>
      <c r="M40" s="64"/>
      <c r="N40" s="77">
        <v>206354.4</v>
      </c>
      <c r="O40" s="18">
        <v>112462.5</v>
      </c>
      <c r="P40" s="22"/>
      <c r="Q40" s="22"/>
      <c r="R40" s="22"/>
    </row>
    <row r="41" spans="1:18" s="20" customFormat="1" ht="25.5" hidden="1" x14ac:dyDescent="0.2">
      <c r="A41" s="411" t="s">
        <v>137</v>
      </c>
      <c r="B41" s="422" t="s">
        <v>435</v>
      </c>
      <c r="C41" s="422">
        <f>100</f>
        <v>100</v>
      </c>
      <c r="D41" s="422">
        <v>1</v>
      </c>
      <c r="E41" s="422">
        <f t="shared" si="10"/>
        <v>100</v>
      </c>
      <c r="F41" s="416"/>
      <c r="G41" s="426">
        <v>167.36</v>
      </c>
      <c r="H41" s="417">
        <v>2.0764999999999998</v>
      </c>
      <c r="I41" s="416">
        <f t="shared" si="11"/>
        <v>347.52</v>
      </c>
      <c r="J41" s="418">
        <f t="shared" si="12"/>
        <v>34752</v>
      </c>
      <c r="K41" s="419">
        <f t="shared" si="14"/>
        <v>6950.4</v>
      </c>
      <c r="L41" s="420">
        <f t="shared" si="13"/>
        <v>41702.400000000001</v>
      </c>
      <c r="M41" s="64"/>
      <c r="N41" s="77">
        <v>26823.599999999999</v>
      </c>
      <c r="O41" s="18">
        <v>26823.5</v>
      </c>
      <c r="P41" s="22"/>
      <c r="Q41" s="22"/>
      <c r="R41" s="22"/>
    </row>
    <row r="42" spans="1:18" s="20" customFormat="1" ht="102" hidden="1" x14ac:dyDescent="0.2">
      <c r="A42" s="421" t="s">
        <v>202</v>
      </c>
      <c r="B42" s="422" t="s">
        <v>433</v>
      </c>
      <c r="C42" s="422">
        <f>230.5</f>
        <v>230.5</v>
      </c>
      <c r="D42" s="422">
        <v>1</v>
      </c>
      <c r="E42" s="422">
        <f t="shared" si="10"/>
        <v>230.5</v>
      </c>
      <c r="F42" s="416"/>
      <c r="G42" s="426">
        <v>38.590000000000003</v>
      </c>
      <c r="H42" s="417">
        <v>2.0764999999999998</v>
      </c>
      <c r="I42" s="416">
        <f t="shared" si="11"/>
        <v>80.13</v>
      </c>
      <c r="J42" s="418">
        <f t="shared" si="12"/>
        <v>18469.97</v>
      </c>
      <c r="K42" s="419">
        <f t="shared" si="14"/>
        <v>3693.99</v>
      </c>
      <c r="L42" s="420">
        <f t="shared" si="13"/>
        <v>22163.96</v>
      </c>
      <c r="M42" s="64"/>
      <c r="N42" s="77">
        <v>28517.46</v>
      </c>
      <c r="O42" s="18">
        <v>14288.67</v>
      </c>
      <c r="P42" s="22"/>
      <c r="Q42" s="22"/>
      <c r="R42" s="22"/>
    </row>
    <row r="43" spans="1:18" s="20" customFormat="1" ht="25.5" hidden="1" x14ac:dyDescent="0.2">
      <c r="A43" s="411" t="s">
        <v>104</v>
      </c>
      <c r="B43" s="422" t="s">
        <v>411</v>
      </c>
      <c r="C43" s="422">
        <f>5.25</f>
        <v>5.25</v>
      </c>
      <c r="D43" s="422">
        <v>1</v>
      </c>
      <c r="E43" s="422">
        <f>ROUND(C43*D43,2)</f>
        <v>5.25</v>
      </c>
      <c r="F43" s="416"/>
      <c r="G43" s="426">
        <v>5333.45</v>
      </c>
      <c r="H43" s="417">
        <v>2.0764999999999998</v>
      </c>
      <c r="I43" s="416">
        <f t="shared" si="11"/>
        <v>11074.91</v>
      </c>
      <c r="J43" s="418">
        <f t="shared" si="12"/>
        <v>58143.28</v>
      </c>
      <c r="K43" s="419">
        <f t="shared" si="14"/>
        <v>11628.66</v>
      </c>
      <c r="L43" s="420">
        <f t="shared" si="13"/>
        <v>69771.94</v>
      </c>
      <c r="M43" s="64"/>
      <c r="N43" s="77">
        <v>89753.08</v>
      </c>
      <c r="O43" s="18">
        <v>44876.53</v>
      </c>
      <c r="P43" s="63"/>
      <c r="Q43" s="22"/>
      <c r="R43" s="22"/>
    </row>
    <row r="44" spans="1:18" s="20" customFormat="1" ht="38.25" hidden="1" x14ac:dyDescent="0.2">
      <c r="A44" s="411" t="s">
        <v>467</v>
      </c>
      <c r="B44" s="414" t="s">
        <v>422</v>
      </c>
      <c r="C44" s="428">
        <v>351</v>
      </c>
      <c r="D44" s="414">
        <v>1</v>
      </c>
      <c r="E44" s="414">
        <f t="shared" ref="E44:E52" si="15">ROUND(C44*D44,2)</f>
        <v>351</v>
      </c>
      <c r="F44" s="416"/>
      <c r="G44" s="426">
        <v>98.67</v>
      </c>
      <c r="H44" s="417">
        <v>2.0764999999999998</v>
      </c>
      <c r="I44" s="416">
        <f t="shared" si="11"/>
        <v>204.89</v>
      </c>
      <c r="J44" s="418">
        <f t="shared" si="12"/>
        <v>71916.39</v>
      </c>
      <c r="K44" s="419">
        <f t="shared" si="14"/>
        <v>14383.28</v>
      </c>
      <c r="L44" s="420">
        <f t="shared" si="13"/>
        <v>86299.67</v>
      </c>
      <c r="M44" s="64"/>
      <c r="N44" s="77"/>
      <c r="O44" s="18"/>
      <c r="P44" s="63"/>
      <c r="Q44" s="22"/>
      <c r="R44" s="22"/>
    </row>
    <row r="45" spans="1:18" s="20" customFormat="1" ht="51" hidden="1" x14ac:dyDescent="0.2">
      <c r="A45" s="411" t="s">
        <v>469</v>
      </c>
      <c r="B45" s="414" t="s">
        <v>118</v>
      </c>
      <c r="C45" s="429">
        <f>34*50/100</f>
        <v>17</v>
      </c>
      <c r="D45" s="414">
        <v>1</v>
      </c>
      <c r="E45" s="414">
        <f t="shared" si="15"/>
        <v>17</v>
      </c>
      <c r="F45" s="422"/>
      <c r="G45" s="416">
        <v>531.04</v>
      </c>
      <c r="H45" s="417">
        <v>2.0764999999999998</v>
      </c>
      <c r="I45" s="416">
        <f t="shared" si="11"/>
        <v>1102.7</v>
      </c>
      <c r="J45" s="418">
        <f t="shared" si="12"/>
        <v>18745.900000000001</v>
      </c>
      <c r="K45" s="419">
        <f t="shared" si="14"/>
        <v>3749.18</v>
      </c>
      <c r="L45" s="420">
        <f t="shared" si="13"/>
        <v>22495.08</v>
      </c>
      <c r="M45" s="64"/>
      <c r="N45" s="77"/>
      <c r="O45" s="18"/>
      <c r="P45" s="63"/>
      <c r="Q45" s="22"/>
      <c r="R45" s="22"/>
    </row>
    <row r="46" spans="1:18" s="20" customFormat="1" ht="15" hidden="1" x14ac:dyDescent="0.2">
      <c r="A46" s="430" t="s">
        <v>471</v>
      </c>
      <c r="B46" s="414" t="s">
        <v>446</v>
      </c>
      <c r="C46" s="414">
        <f>461</f>
        <v>461</v>
      </c>
      <c r="D46" s="414">
        <v>1</v>
      </c>
      <c r="E46" s="414">
        <f t="shared" si="15"/>
        <v>461</v>
      </c>
      <c r="F46" s="422"/>
      <c r="G46" s="416">
        <v>2.89</v>
      </c>
      <c r="H46" s="417">
        <v>2.0764999999999998</v>
      </c>
      <c r="I46" s="416">
        <f t="shared" si="11"/>
        <v>6</v>
      </c>
      <c r="J46" s="418">
        <f t="shared" si="12"/>
        <v>2766</v>
      </c>
      <c r="K46" s="419">
        <f t="shared" si="14"/>
        <v>553.20000000000005</v>
      </c>
      <c r="L46" s="420">
        <f t="shared" si="13"/>
        <v>3319.2</v>
      </c>
      <c r="M46" s="64"/>
      <c r="N46" s="77"/>
      <c r="O46" s="18"/>
      <c r="P46" s="63"/>
      <c r="Q46" s="22"/>
      <c r="R46" s="22"/>
    </row>
    <row r="47" spans="1:18" s="20" customFormat="1" ht="15" hidden="1" x14ac:dyDescent="0.2">
      <c r="A47" s="430" t="s">
        <v>473</v>
      </c>
      <c r="B47" s="414" t="s">
        <v>422</v>
      </c>
      <c r="C47" s="414">
        <v>100</v>
      </c>
      <c r="D47" s="414">
        <v>1</v>
      </c>
      <c r="E47" s="414">
        <f t="shared" si="15"/>
        <v>100</v>
      </c>
      <c r="F47" s="422"/>
      <c r="G47" s="416">
        <v>101.02</v>
      </c>
      <c r="H47" s="417">
        <v>2.0764999999999998</v>
      </c>
      <c r="I47" s="416">
        <f t="shared" si="11"/>
        <v>209.77</v>
      </c>
      <c r="J47" s="418">
        <f t="shared" si="12"/>
        <v>20977</v>
      </c>
      <c r="K47" s="419">
        <f t="shared" si="14"/>
        <v>4195.3999999999996</v>
      </c>
      <c r="L47" s="420">
        <f t="shared" si="13"/>
        <v>25172.400000000001</v>
      </c>
      <c r="M47" s="64"/>
      <c r="N47" s="77"/>
      <c r="O47" s="18"/>
      <c r="P47" s="63"/>
      <c r="Q47" s="22"/>
      <c r="R47" s="22"/>
    </row>
    <row r="48" spans="1:18" s="20" customFormat="1" ht="63.75" hidden="1" x14ac:dyDescent="0.2">
      <c r="A48" s="431" t="s">
        <v>475</v>
      </c>
      <c r="B48" s="414" t="s">
        <v>433</v>
      </c>
      <c r="C48" s="414">
        <v>461</v>
      </c>
      <c r="D48" s="414">
        <v>2</v>
      </c>
      <c r="E48" s="414">
        <f t="shared" si="15"/>
        <v>922</v>
      </c>
      <c r="F48" s="422"/>
      <c r="G48" s="416">
        <v>0.57999999999999996</v>
      </c>
      <c r="H48" s="417">
        <v>2.0764999999999998</v>
      </c>
      <c r="I48" s="416">
        <f t="shared" si="11"/>
        <v>1.2</v>
      </c>
      <c r="J48" s="418">
        <f t="shared" si="12"/>
        <v>1106.4000000000001</v>
      </c>
      <c r="K48" s="419">
        <f t="shared" si="14"/>
        <v>221.28</v>
      </c>
      <c r="L48" s="420">
        <f t="shared" si="13"/>
        <v>1327.68</v>
      </c>
      <c r="M48" s="64"/>
      <c r="N48" s="77"/>
      <c r="O48" s="18"/>
      <c r="P48" s="63"/>
      <c r="Q48" s="22"/>
      <c r="R48" s="22"/>
    </row>
    <row r="49" spans="1:18" s="20" customFormat="1" ht="38.25" hidden="1" x14ac:dyDescent="0.2">
      <c r="A49" s="431" t="s">
        <v>477</v>
      </c>
      <c r="B49" s="414" t="s">
        <v>433</v>
      </c>
      <c r="C49" s="414">
        <v>50</v>
      </c>
      <c r="D49" s="414">
        <v>1</v>
      </c>
      <c r="E49" s="414">
        <f t="shared" si="15"/>
        <v>50</v>
      </c>
      <c r="F49" s="422"/>
      <c r="G49" s="416">
        <v>382.85</v>
      </c>
      <c r="H49" s="417">
        <v>2.0764999999999998</v>
      </c>
      <c r="I49" s="416">
        <f>ROUND(G49*H49,2)</f>
        <v>794.99</v>
      </c>
      <c r="J49" s="418">
        <f>ROUND(I49*E49,2)</f>
        <v>39749.5</v>
      </c>
      <c r="K49" s="419">
        <f>ROUND(J49*0.2,2)</f>
        <v>7949.9</v>
      </c>
      <c r="L49" s="420">
        <f>ROUND(K49+J49,2)</f>
        <v>47699.4</v>
      </c>
      <c r="M49" s="64"/>
      <c r="N49" s="77"/>
      <c r="O49" s="18"/>
      <c r="P49" s="63"/>
      <c r="Q49" s="22"/>
      <c r="R49" s="22"/>
    </row>
    <row r="50" spans="1:18" s="20" customFormat="1" ht="25.5" hidden="1" x14ac:dyDescent="0.2">
      <c r="A50" s="431" t="s">
        <v>479</v>
      </c>
      <c r="B50" s="414" t="s">
        <v>422</v>
      </c>
      <c r="C50" s="414">
        <v>100</v>
      </c>
      <c r="D50" s="414">
        <v>1</v>
      </c>
      <c r="E50" s="414">
        <f>ROUND(C50*D50,0)</f>
        <v>100</v>
      </c>
      <c r="F50" s="422"/>
      <c r="G50" s="416">
        <v>209.02</v>
      </c>
      <c r="H50" s="417">
        <v>2.0764999999999998</v>
      </c>
      <c r="I50" s="416">
        <f>ROUND(G50*H50,2)</f>
        <v>434.03</v>
      </c>
      <c r="J50" s="418">
        <f>ROUND(I50*E50,2)</f>
        <v>43403</v>
      </c>
      <c r="K50" s="419">
        <f>ROUND(J50*0.2,2)</f>
        <v>8680.6</v>
      </c>
      <c r="L50" s="420">
        <f>ROUND(K50+J50,2)</f>
        <v>52083.6</v>
      </c>
      <c r="M50" s="64"/>
      <c r="N50" s="77"/>
      <c r="O50" s="18"/>
      <c r="P50" s="63"/>
      <c r="Q50" s="22"/>
      <c r="R50" s="22"/>
    </row>
    <row r="51" spans="1:18" s="20" customFormat="1" ht="89.25" hidden="1" x14ac:dyDescent="0.2">
      <c r="A51" s="421" t="s">
        <v>509</v>
      </c>
      <c r="B51" s="423" t="s">
        <v>507</v>
      </c>
      <c r="C51" s="422">
        <v>4</v>
      </c>
      <c r="D51" s="422">
        <v>3</v>
      </c>
      <c r="E51" s="414">
        <f t="shared" si="15"/>
        <v>12</v>
      </c>
      <c r="F51" s="422"/>
      <c r="G51" s="416">
        <v>4248.72</v>
      </c>
      <c r="H51" s="417">
        <v>2.0764999999999998</v>
      </c>
      <c r="I51" s="416">
        <f>ROUND(G51*H51,2)</f>
        <v>8822.4699999999993</v>
      </c>
      <c r="J51" s="418">
        <f>ROUND(I51*E51,2)</f>
        <v>105869.64</v>
      </c>
      <c r="K51" s="419">
        <f>ROUND(J51*0.2,2)</f>
        <v>21173.93</v>
      </c>
      <c r="L51" s="420">
        <f>ROUND(K51+J51,2)</f>
        <v>127043.57</v>
      </c>
      <c r="M51" s="64"/>
      <c r="N51" s="77"/>
      <c r="O51" s="18"/>
      <c r="P51" s="63"/>
      <c r="Q51" s="22"/>
      <c r="R51" s="22"/>
    </row>
    <row r="52" spans="1:18" s="20" customFormat="1" ht="38.25" hidden="1" x14ac:dyDescent="0.2">
      <c r="A52" s="411" t="s">
        <v>518</v>
      </c>
      <c r="B52" s="432" t="s">
        <v>508</v>
      </c>
      <c r="C52" s="414">
        <v>1</v>
      </c>
      <c r="D52" s="414">
        <v>91</v>
      </c>
      <c r="E52" s="414">
        <f t="shared" si="15"/>
        <v>91</v>
      </c>
      <c r="F52" s="418"/>
      <c r="G52" s="416">
        <v>535.76</v>
      </c>
      <c r="H52" s="433">
        <v>1.0680000000000001</v>
      </c>
      <c r="I52" s="416">
        <f>ROUND(G52*H52,2)</f>
        <v>572.19000000000005</v>
      </c>
      <c r="J52" s="418">
        <f>ROUND(I52*E52,2)</f>
        <v>52069.29</v>
      </c>
      <c r="K52" s="419">
        <f>ROUND(J52*0.2,2)</f>
        <v>10413.86</v>
      </c>
      <c r="L52" s="420">
        <f>ROUND(K52+J52,2)</f>
        <v>62483.15</v>
      </c>
      <c r="M52" s="64">
        <v>59147.9</v>
      </c>
      <c r="N52" s="77"/>
      <c r="O52" s="18"/>
      <c r="P52" s="63"/>
      <c r="Q52" s="22"/>
      <c r="R52" s="22"/>
    </row>
    <row r="53" spans="1:18" s="20" customFormat="1" ht="12.75" hidden="1" x14ac:dyDescent="0.2">
      <c r="A53" s="219" t="s">
        <v>88</v>
      </c>
      <c r="B53" s="422"/>
      <c r="C53" s="422"/>
      <c r="D53" s="422"/>
      <c r="E53" s="422"/>
      <c r="F53" s="422"/>
      <c r="G53" s="416"/>
      <c r="H53" s="417"/>
      <c r="I53" s="416"/>
      <c r="J53" s="418"/>
      <c r="K53" s="419"/>
      <c r="L53" s="420"/>
      <c r="M53" s="64"/>
      <c r="N53" s="77"/>
      <c r="O53" s="18"/>
      <c r="P53" s="22"/>
      <c r="Q53" s="22"/>
      <c r="R53" s="22"/>
    </row>
    <row r="54" spans="1:18" s="20" customFormat="1" ht="63.75" hidden="1" x14ac:dyDescent="0.2">
      <c r="A54" s="421" t="s">
        <v>171</v>
      </c>
      <c r="B54" s="422" t="s">
        <v>435</v>
      </c>
      <c r="C54" s="422">
        <v>800</v>
      </c>
      <c r="D54" s="422">
        <v>3</v>
      </c>
      <c r="E54" s="422">
        <f>ROUND(C54*D54,2)</f>
        <v>2400</v>
      </c>
      <c r="F54" s="422"/>
      <c r="G54" s="416">
        <v>12.79</v>
      </c>
      <c r="H54" s="417">
        <v>2.0764999999999998</v>
      </c>
      <c r="I54" s="416">
        <f>ROUND(G54*H54,2)</f>
        <v>26.56</v>
      </c>
      <c r="J54" s="418">
        <f>ROUND(I54*E54,2)</f>
        <v>63744</v>
      </c>
      <c r="K54" s="419">
        <f>ROUND(J54*0.2,2)</f>
        <v>12748.8</v>
      </c>
      <c r="L54" s="420">
        <f>ROUND(K54+J54,2)</f>
        <v>76492.800000000003</v>
      </c>
      <c r="M54" s="143" t="s">
        <v>534</v>
      </c>
      <c r="N54" s="77">
        <v>132276.6</v>
      </c>
      <c r="O54" s="18">
        <v>66122.179999999993</v>
      </c>
      <c r="P54" s="22"/>
      <c r="Q54" s="22"/>
      <c r="R54" s="22"/>
    </row>
    <row r="55" spans="1:18" s="20" customFormat="1" ht="25.5" hidden="1" x14ac:dyDescent="0.2">
      <c r="A55" s="221" t="s">
        <v>141</v>
      </c>
      <c r="B55" s="422"/>
      <c r="C55" s="422"/>
      <c r="D55" s="422"/>
      <c r="E55" s="422"/>
      <c r="F55" s="422"/>
      <c r="G55" s="416"/>
      <c r="H55" s="417"/>
      <c r="I55" s="416"/>
      <c r="J55" s="418"/>
      <c r="K55" s="419"/>
      <c r="L55" s="420"/>
      <c r="M55" s="142">
        <f>7089261.59+M223+M84+M101+M118+M135+M152+M169+M186+N59</f>
        <v>7643769.1499999994</v>
      </c>
      <c r="N55" s="77"/>
      <c r="O55" s="18"/>
      <c r="P55" s="22"/>
      <c r="Q55" s="22"/>
      <c r="R55" s="22"/>
    </row>
    <row r="56" spans="1:18" s="20" customFormat="1" ht="102" hidden="1" x14ac:dyDescent="0.2">
      <c r="A56" s="411" t="s">
        <v>173</v>
      </c>
      <c r="B56" s="414" t="s">
        <v>354</v>
      </c>
      <c r="C56" s="414">
        <v>182.04</v>
      </c>
      <c r="D56" s="414">
        <v>13</v>
      </c>
      <c r="E56" s="414">
        <f t="shared" ref="E56:E76" si="16">ROUND(C56*D56,2)</f>
        <v>2366.52</v>
      </c>
      <c r="F56" s="422"/>
      <c r="G56" s="416">
        <v>35.012</v>
      </c>
      <c r="H56" s="417">
        <v>2.0764999999999998</v>
      </c>
      <c r="I56" s="416">
        <f t="shared" ref="I56:I75" si="17">ROUND(G56*H56,2)</f>
        <v>72.7</v>
      </c>
      <c r="J56" s="418">
        <f t="shared" ref="J56:J75" si="18">ROUND(I56*E56,2)</f>
        <v>172046</v>
      </c>
      <c r="K56" s="419">
        <f t="shared" ref="K56:K75" si="19">ROUND(J56*0.2,2)</f>
        <v>34409.199999999997</v>
      </c>
      <c r="L56" s="420">
        <f t="shared" ref="L56:L75" si="20">ROUND(K56+J56,2)</f>
        <v>206455.2</v>
      </c>
      <c r="M56" s="143" t="s">
        <v>535</v>
      </c>
      <c r="N56" s="77"/>
      <c r="O56" s="18"/>
      <c r="P56" s="22"/>
      <c r="Q56" s="22"/>
      <c r="R56" s="22"/>
    </row>
    <row r="57" spans="1:18" s="20" customFormat="1" ht="76.5" hidden="1" x14ac:dyDescent="0.2">
      <c r="A57" s="411" t="s">
        <v>113</v>
      </c>
      <c r="B57" s="414" t="s">
        <v>354</v>
      </c>
      <c r="C57" s="414">
        <v>521.28</v>
      </c>
      <c r="D57" s="414">
        <v>12</v>
      </c>
      <c r="E57" s="414">
        <f t="shared" si="16"/>
        <v>6255.36</v>
      </c>
      <c r="F57" s="422"/>
      <c r="G57" s="416">
        <v>101.435</v>
      </c>
      <c r="H57" s="417">
        <v>2.0764999999999998</v>
      </c>
      <c r="I57" s="416">
        <f t="shared" si="17"/>
        <v>210.63</v>
      </c>
      <c r="J57" s="418">
        <f t="shared" si="18"/>
        <v>1317566.48</v>
      </c>
      <c r="K57" s="419">
        <f t="shared" si="19"/>
        <v>263513.3</v>
      </c>
      <c r="L57" s="420">
        <f t="shared" si="20"/>
        <v>1581079.78</v>
      </c>
      <c r="M57" s="136">
        <f>M77+M86+M103+M120+M137+M154+M171+M188+O59</f>
        <v>13362526.59</v>
      </c>
      <c r="N57" s="77"/>
      <c r="O57" s="18"/>
      <c r="P57" s="22"/>
      <c r="Q57" s="22"/>
      <c r="R57" s="22"/>
    </row>
    <row r="58" spans="1:18" s="20" customFormat="1" ht="76.5" hidden="1" x14ac:dyDescent="0.2">
      <c r="A58" s="411" t="s">
        <v>176</v>
      </c>
      <c r="B58" s="414" t="s">
        <v>354</v>
      </c>
      <c r="C58" s="414">
        <v>96.48</v>
      </c>
      <c r="D58" s="414">
        <v>10</v>
      </c>
      <c r="E58" s="414">
        <f t="shared" si="16"/>
        <v>964.8</v>
      </c>
      <c r="F58" s="422"/>
      <c r="G58" s="416">
        <v>100.485</v>
      </c>
      <c r="H58" s="417">
        <v>2.0764999999999998</v>
      </c>
      <c r="I58" s="416">
        <f t="shared" si="17"/>
        <v>208.66</v>
      </c>
      <c r="J58" s="418">
        <f t="shared" si="18"/>
        <v>201315.17</v>
      </c>
      <c r="K58" s="419">
        <f t="shared" si="19"/>
        <v>40263.03</v>
      </c>
      <c r="L58" s="420">
        <f t="shared" si="20"/>
        <v>241578.2</v>
      </c>
      <c r="M58" s="148" t="s">
        <v>533</v>
      </c>
      <c r="N58" s="77"/>
      <c r="O58" s="18"/>
      <c r="P58" s="22"/>
      <c r="Q58" s="22"/>
      <c r="R58" s="22"/>
    </row>
    <row r="59" spans="1:18" s="20" customFormat="1" ht="89.25" hidden="1" x14ac:dyDescent="0.2">
      <c r="A59" s="411" t="s">
        <v>178</v>
      </c>
      <c r="B59" s="414" t="s">
        <v>432</v>
      </c>
      <c r="C59" s="414">
        <v>1112.51</v>
      </c>
      <c r="D59" s="414">
        <v>12</v>
      </c>
      <c r="E59" s="414">
        <f t="shared" si="16"/>
        <v>13350.12</v>
      </c>
      <c r="F59" s="422"/>
      <c r="G59" s="416">
        <v>126.792</v>
      </c>
      <c r="H59" s="417">
        <v>2.0764999999999998</v>
      </c>
      <c r="I59" s="416">
        <f t="shared" si="17"/>
        <v>263.27999999999997</v>
      </c>
      <c r="J59" s="418">
        <f t="shared" si="18"/>
        <v>3514819.59</v>
      </c>
      <c r="K59" s="419">
        <f t="shared" si="19"/>
        <v>702963.92</v>
      </c>
      <c r="L59" s="420">
        <f t="shared" si="20"/>
        <v>4217783.51</v>
      </c>
      <c r="M59" s="146">
        <f>M94+M111+M128+M145+M162+M179+M196</f>
        <v>649691.69999999984</v>
      </c>
      <c r="N59" s="77">
        <f>M59*0.4</f>
        <v>259876.67999999993</v>
      </c>
      <c r="O59" s="149">
        <f>M59*0.6</f>
        <v>389815.0199999999</v>
      </c>
      <c r="P59" s="24">
        <f>N59+O59</f>
        <v>649691.69999999984</v>
      </c>
      <c r="Q59" s="22"/>
      <c r="R59" s="22"/>
    </row>
    <row r="60" spans="1:18" s="20" customFormat="1" ht="76.5" hidden="1" x14ac:dyDescent="0.2">
      <c r="A60" s="411" t="s">
        <v>180</v>
      </c>
      <c r="B60" s="414" t="s">
        <v>432</v>
      </c>
      <c r="C60" s="414">
        <v>289.44</v>
      </c>
      <c r="D60" s="414">
        <v>10</v>
      </c>
      <c r="E60" s="414">
        <f t="shared" si="16"/>
        <v>2894.4</v>
      </c>
      <c r="F60" s="422"/>
      <c r="G60" s="416">
        <v>57.42</v>
      </c>
      <c r="H60" s="417">
        <v>2.0764999999999998</v>
      </c>
      <c r="I60" s="416">
        <f t="shared" si="17"/>
        <v>119.23</v>
      </c>
      <c r="J60" s="418">
        <f t="shared" si="18"/>
        <v>345099.31</v>
      </c>
      <c r="K60" s="419">
        <f t="shared" si="19"/>
        <v>69019.86</v>
      </c>
      <c r="L60" s="420">
        <f t="shared" si="20"/>
        <v>414119.17</v>
      </c>
      <c r="M60" s="64">
        <f>M57+M55</f>
        <v>21006295.739999998</v>
      </c>
      <c r="N60" s="77"/>
      <c r="O60" s="18"/>
      <c r="P60" s="22"/>
      <c r="Q60" s="22"/>
      <c r="R60" s="22"/>
    </row>
    <row r="61" spans="1:18" s="20" customFormat="1" ht="102" hidden="1" x14ac:dyDescent="0.2">
      <c r="A61" s="411" t="s">
        <v>503</v>
      </c>
      <c r="B61" s="414" t="s">
        <v>432</v>
      </c>
      <c r="C61" s="414">
        <v>639.928</v>
      </c>
      <c r="D61" s="414">
        <v>13</v>
      </c>
      <c r="E61" s="414">
        <f t="shared" si="16"/>
        <v>8319.06</v>
      </c>
      <c r="F61" s="422"/>
      <c r="G61" s="416">
        <v>41.19</v>
      </c>
      <c r="H61" s="417">
        <v>2.0764999999999998</v>
      </c>
      <c r="I61" s="416">
        <f t="shared" si="17"/>
        <v>85.53</v>
      </c>
      <c r="J61" s="418">
        <f t="shared" si="18"/>
        <v>711529.2</v>
      </c>
      <c r="K61" s="419">
        <f t="shared" si="19"/>
        <v>142305.84</v>
      </c>
      <c r="L61" s="420">
        <f t="shared" si="20"/>
        <v>853835.04</v>
      </c>
      <c r="M61" s="64"/>
      <c r="N61" s="77"/>
      <c r="O61" s="18"/>
      <c r="P61" s="22"/>
      <c r="Q61" s="22"/>
      <c r="R61" s="22"/>
    </row>
    <row r="62" spans="1:18" s="20" customFormat="1" ht="102" hidden="1" x14ac:dyDescent="0.2">
      <c r="A62" s="411" t="s">
        <v>511</v>
      </c>
      <c r="B62" s="414" t="s">
        <v>432</v>
      </c>
      <c r="C62" s="414">
        <v>639.928</v>
      </c>
      <c r="D62" s="414">
        <v>13</v>
      </c>
      <c r="E62" s="414">
        <f t="shared" si="16"/>
        <v>8319.06</v>
      </c>
      <c r="F62" s="422"/>
      <c r="G62" s="416">
        <v>26.46</v>
      </c>
      <c r="H62" s="417">
        <v>2.0764999999999998</v>
      </c>
      <c r="I62" s="416">
        <f t="shared" si="17"/>
        <v>54.94</v>
      </c>
      <c r="J62" s="418">
        <f t="shared" si="18"/>
        <v>457049.16</v>
      </c>
      <c r="K62" s="419">
        <f t="shared" si="19"/>
        <v>91409.83</v>
      </c>
      <c r="L62" s="420">
        <f t="shared" si="20"/>
        <v>548458.99</v>
      </c>
      <c r="M62" s="64"/>
      <c r="N62" s="77"/>
      <c r="O62" s="18"/>
      <c r="P62" s="22"/>
      <c r="Q62" s="22"/>
      <c r="R62" s="22"/>
    </row>
    <row r="63" spans="1:18" s="20" customFormat="1" ht="153" hidden="1" x14ac:dyDescent="0.2">
      <c r="A63" s="411" t="s">
        <v>183</v>
      </c>
      <c r="B63" s="414" t="s">
        <v>432</v>
      </c>
      <c r="C63" s="414">
        <v>639.928</v>
      </c>
      <c r="D63" s="414">
        <v>11</v>
      </c>
      <c r="E63" s="414">
        <f>ROUND(C63*D63,2)</f>
        <v>7039.21</v>
      </c>
      <c r="F63" s="422"/>
      <c r="G63" s="416">
        <v>57.06</v>
      </c>
      <c r="H63" s="417">
        <v>2.0764999999999998</v>
      </c>
      <c r="I63" s="416">
        <f t="shared" si="17"/>
        <v>118.49</v>
      </c>
      <c r="J63" s="418">
        <f t="shared" si="18"/>
        <v>834075.99</v>
      </c>
      <c r="K63" s="419">
        <f t="shared" si="19"/>
        <v>166815.20000000001</v>
      </c>
      <c r="L63" s="420">
        <f>ROUND(K63+J63,2)</f>
        <v>1000891.19</v>
      </c>
      <c r="M63" s="64"/>
      <c r="N63" s="77"/>
      <c r="O63" s="18"/>
      <c r="P63" s="22"/>
      <c r="Q63" s="22"/>
      <c r="R63" s="22"/>
    </row>
    <row r="64" spans="1:18" s="20" customFormat="1" ht="114.75" hidden="1" x14ac:dyDescent="0.2">
      <c r="A64" s="411" t="s">
        <v>481</v>
      </c>
      <c r="B64" s="414" t="s">
        <v>432</v>
      </c>
      <c r="C64" s="414">
        <v>441.57400000000001</v>
      </c>
      <c r="D64" s="414">
        <v>11</v>
      </c>
      <c r="E64" s="414">
        <f>ROUND(C64*D64,2)</f>
        <v>4857.3100000000004</v>
      </c>
      <c r="F64" s="422"/>
      <c r="G64" s="416">
        <v>57.06</v>
      </c>
      <c r="H64" s="417">
        <v>2.0764999999999998</v>
      </c>
      <c r="I64" s="416">
        <f t="shared" si="17"/>
        <v>118.49</v>
      </c>
      <c r="J64" s="418">
        <f t="shared" si="18"/>
        <v>575542.66</v>
      </c>
      <c r="K64" s="419">
        <f t="shared" si="19"/>
        <v>115108.53</v>
      </c>
      <c r="L64" s="420">
        <f t="shared" si="20"/>
        <v>690651.19</v>
      </c>
      <c r="M64" s="64"/>
      <c r="N64" s="77"/>
      <c r="O64" s="18"/>
      <c r="P64" s="22"/>
      <c r="Q64" s="22"/>
      <c r="R64" s="22"/>
    </row>
    <row r="65" spans="1:18" s="20" customFormat="1" ht="51" hidden="1" x14ac:dyDescent="0.2">
      <c r="A65" s="411" t="s">
        <v>1</v>
      </c>
      <c r="B65" s="414" t="s">
        <v>355</v>
      </c>
      <c r="C65" s="414">
        <f>(C63+C64)*1000*300/1000/1000</f>
        <v>324.45059999999995</v>
      </c>
      <c r="D65" s="414">
        <v>11</v>
      </c>
      <c r="E65" s="414">
        <f>ROUND(C65*D65,2)</f>
        <v>3568.96</v>
      </c>
      <c r="F65" s="434"/>
      <c r="G65" s="416">
        <v>769.85</v>
      </c>
      <c r="H65" s="417">
        <v>2.0764999999999998</v>
      </c>
      <c r="I65" s="416">
        <f>ROUND(G65*H65,2)</f>
        <v>1598.59</v>
      </c>
      <c r="J65" s="418">
        <f>ROUND(I65*E65,2)</f>
        <v>5705303.7699999996</v>
      </c>
      <c r="K65" s="419">
        <f>ROUND(J65*0.2,2)</f>
        <v>1141060.75</v>
      </c>
      <c r="L65" s="420">
        <f>ROUND(K65+J65,2)</f>
        <v>6846364.5199999996</v>
      </c>
      <c r="M65" s="64">
        <f>L65+L64+L63</f>
        <v>8537906.8999999985</v>
      </c>
      <c r="N65" s="77"/>
      <c r="O65" s="18"/>
      <c r="P65" s="22"/>
      <c r="Q65" s="22"/>
      <c r="R65" s="22"/>
    </row>
    <row r="66" spans="1:18" s="20" customFormat="1" ht="76.5" hidden="1" x14ac:dyDescent="0.2">
      <c r="A66" s="411" t="s">
        <v>114</v>
      </c>
      <c r="B66" s="422" t="s">
        <v>431</v>
      </c>
      <c r="C66" s="414">
        <v>1.4</v>
      </c>
      <c r="D66" s="414">
        <v>6</v>
      </c>
      <c r="E66" s="414">
        <f t="shared" si="16"/>
        <v>8.4</v>
      </c>
      <c r="F66" s="434"/>
      <c r="G66" s="416">
        <v>8421.01</v>
      </c>
      <c r="H66" s="417">
        <v>2.0764999999999998</v>
      </c>
      <c r="I66" s="416">
        <f t="shared" si="17"/>
        <v>17486.23</v>
      </c>
      <c r="J66" s="418">
        <f t="shared" si="18"/>
        <v>146884.32999999999</v>
      </c>
      <c r="K66" s="419">
        <f t="shared" si="19"/>
        <v>29376.87</v>
      </c>
      <c r="L66" s="420">
        <f t="shared" si="20"/>
        <v>176261.2</v>
      </c>
      <c r="M66" s="64"/>
      <c r="N66" s="77"/>
      <c r="O66" s="18"/>
      <c r="P66" s="22"/>
      <c r="Q66" s="22"/>
      <c r="R66" s="22"/>
    </row>
    <row r="67" spans="1:18" s="20" customFormat="1" ht="38.25" hidden="1" x14ac:dyDescent="0.2">
      <c r="A67" s="411" t="s">
        <v>186</v>
      </c>
      <c r="B67" s="414" t="s">
        <v>354</v>
      </c>
      <c r="C67" s="414">
        <v>154.54</v>
      </c>
      <c r="D67" s="414">
        <v>2</v>
      </c>
      <c r="E67" s="414">
        <f t="shared" si="16"/>
        <v>309.08</v>
      </c>
      <c r="F67" s="434"/>
      <c r="G67" s="416">
        <v>234.64</v>
      </c>
      <c r="H67" s="417">
        <v>2.0764999999999998</v>
      </c>
      <c r="I67" s="416">
        <f t="shared" si="17"/>
        <v>487.23</v>
      </c>
      <c r="J67" s="418">
        <f t="shared" si="18"/>
        <v>150593.04999999999</v>
      </c>
      <c r="K67" s="419">
        <f t="shared" si="19"/>
        <v>30118.61</v>
      </c>
      <c r="L67" s="420">
        <f t="shared" si="20"/>
        <v>180711.66</v>
      </c>
      <c r="M67" s="64"/>
      <c r="N67" s="77"/>
      <c r="O67" s="18"/>
      <c r="P67" s="22"/>
      <c r="Q67" s="22"/>
      <c r="R67" s="22"/>
    </row>
    <row r="68" spans="1:18" s="20" customFormat="1" ht="25.5" hidden="1" x14ac:dyDescent="0.2">
      <c r="A68" s="411" t="s">
        <v>93</v>
      </c>
      <c r="B68" s="414" t="s">
        <v>354</v>
      </c>
      <c r="C68" s="414">
        <v>675</v>
      </c>
      <c r="D68" s="414">
        <v>3</v>
      </c>
      <c r="E68" s="414">
        <f t="shared" si="16"/>
        <v>2025</v>
      </c>
      <c r="F68" s="434"/>
      <c r="G68" s="416">
        <v>238.67</v>
      </c>
      <c r="H68" s="417">
        <v>2.0764999999999998</v>
      </c>
      <c r="I68" s="416">
        <f t="shared" si="17"/>
        <v>495.6</v>
      </c>
      <c r="J68" s="418">
        <f t="shared" si="18"/>
        <v>1003590</v>
      </c>
      <c r="K68" s="419">
        <f t="shared" si="19"/>
        <v>200718</v>
      </c>
      <c r="L68" s="420">
        <f t="shared" si="20"/>
        <v>1204308</v>
      </c>
      <c r="M68" s="64"/>
      <c r="N68" s="77"/>
      <c r="O68" s="18"/>
      <c r="P68" s="22"/>
      <c r="Q68" s="22"/>
      <c r="R68" s="22"/>
    </row>
    <row r="69" spans="1:18" s="20" customFormat="1" ht="63.75" hidden="1" x14ac:dyDescent="0.2">
      <c r="A69" s="411" t="s">
        <v>171</v>
      </c>
      <c r="B69" s="414" t="s">
        <v>422</v>
      </c>
      <c r="C69" s="414">
        <v>800</v>
      </c>
      <c r="D69" s="414">
        <v>3</v>
      </c>
      <c r="E69" s="414">
        <f t="shared" si="16"/>
        <v>2400</v>
      </c>
      <c r="F69" s="422"/>
      <c r="G69" s="416">
        <v>12.79</v>
      </c>
      <c r="H69" s="417">
        <v>2.0764999999999998</v>
      </c>
      <c r="I69" s="416">
        <f t="shared" si="17"/>
        <v>26.56</v>
      </c>
      <c r="J69" s="418">
        <f t="shared" si="18"/>
        <v>63744</v>
      </c>
      <c r="K69" s="419">
        <f t="shared" si="19"/>
        <v>12748.8</v>
      </c>
      <c r="L69" s="420">
        <f t="shared" si="20"/>
        <v>76492.800000000003</v>
      </c>
      <c r="M69" s="64"/>
      <c r="N69" s="77"/>
      <c r="O69" s="18"/>
      <c r="P69" s="22"/>
      <c r="Q69" s="22"/>
      <c r="R69" s="22"/>
    </row>
    <row r="70" spans="1:18" s="20" customFormat="1" ht="63.75" hidden="1" x14ac:dyDescent="0.2">
      <c r="A70" s="431" t="s">
        <v>485</v>
      </c>
      <c r="B70" s="414" t="s">
        <v>422</v>
      </c>
      <c r="C70" s="414">
        <v>904</v>
      </c>
      <c r="D70" s="414">
        <v>3</v>
      </c>
      <c r="E70" s="414">
        <f t="shared" si="16"/>
        <v>2712</v>
      </c>
      <c r="F70" s="422"/>
      <c r="G70" s="416">
        <v>10.81</v>
      </c>
      <c r="H70" s="417">
        <v>2.0764999999999998</v>
      </c>
      <c r="I70" s="416">
        <f t="shared" si="17"/>
        <v>22.45</v>
      </c>
      <c r="J70" s="418">
        <f t="shared" si="18"/>
        <v>60884.4</v>
      </c>
      <c r="K70" s="419">
        <f t="shared" si="19"/>
        <v>12176.88</v>
      </c>
      <c r="L70" s="420">
        <f t="shared" si="20"/>
        <v>73061.279999999999</v>
      </c>
      <c r="M70" s="64"/>
      <c r="N70" s="77"/>
      <c r="O70" s="18"/>
      <c r="P70" s="22"/>
      <c r="Q70" s="22"/>
      <c r="R70" s="22"/>
    </row>
    <row r="71" spans="1:18" s="20" customFormat="1" ht="25.5" hidden="1" x14ac:dyDescent="0.2">
      <c r="A71" s="411" t="s">
        <v>487</v>
      </c>
      <c r="B71" s="414" t="s">
        <v>422</v>
      </c>
      <c r="C71" s="414">
        <v>1004</v>
      </c>
      <c r="D71" s="414">
        <v>3</v>
      </c>
      <c r="E71" s="414">
        <f t="shared" si="16"/>
        <v>3012</v>
      </c>
      <c r="F71" s="422"/>
      <c r="G71" s="416">
        <v>8.8800000000000008</v>
      </c>
      <c r="H71" s="417">
        <v>2.0764999999999998</v>
      </c>
      <c r="I71" s="416">
        <f t="shared" si="17"/>
        <v>18.440000000000001</v>
      </c>
      <c r="J71" s="418">
        <f t="shared" si="18"/>
        <v>55541.279999999999</v>
      </c>
      <c r="K71" s="419">
        <f t="shared" si="19"/>
        <v>11108.26</v>
      </c>
      <c r="L71" s="420">
        <f t="shared" si="20"/>
        <v>66649.539999999994</v>
      </c>
      <c r="M71" s="64"/>
      <c r="N71" s="77"/>
      <c r="O71" s="18"/>
      <c r="P71" s="22"/>
      <c r="Q71" s="22"/>
      <c r="R71" s="22"/>
    </row>
    <row r="72" spans="1:18" s="20" customFormat="1" ht="25.5" hidden="1" x14ac:dyDescent="0.2">
      <c r="A72" s="411" t="s">
        <v>489</v>
      </c>
      <c r="B72" s="414" t="s">
        <v>433</v>
      </c>
      <c r="C72" s="414">
        <v>461</v>
      </c>
      <c r="D72" s="414">
        <v>6</v>
      </c>
      <c r="E72" s="414">
        <f t="shared" si="16"/>
        <v>2766</v>
      </c>
      <c r="F72" s="422"/>
      <c r="G72" s="416">
        <v>1.9870000000000001</v>
      </c>
      <c r="H72" s="417">
        <v>2.0764999999999998</v>
      </c>
      <c r="I72" s="416">
        <f>ROUND(G72*H72,2)</f>
        <v>4.13</v>
      </c>
      <c r="J72" s="418">
        <f>ROUND(I72*E72,2)</f>
        <v>11423.58</v>
      </c>
      <c r="K72" s="419">
        <f t="shared" si="19"/>
        <v>2284.7199999999998</v>
      </c>
      <c r="L72" s="420">
        <f t="shared" si="20"/>
        <v>13708.3</v>
      </c>
      <c r="M72" s="64"/>
      <c r="N72" s="77"/>
      <c r="O72" s="18"/>
      <c r="P72" s="22"/>
      <c r="Q72" s="22"/>
      <c r="R72" s="22"/>
    </row>
    <row r="73" spans="1:18" s="20" customFormat="1" ht="25.5" hidden="1" x14ac:dyDescent="0.2">
      <c r="A73" s="411" t="s">
        <v>491</v>
      </c>
      <c r="B73" s="414" t="s">
        <v>433</v>
      </c>
      <c r="C73" s="414">
        <f>C72</f>
        <v>461</v>
      </c>
      <c r="D73" s="414">
        <v>6</v>
      </c>
      <c r="E73" s="414">
        <f t="shared" si="16"/>
        <v>2766</v>
      </c>
      <c r="F73" s="422"/>
      <c r="G73" s="416">
        <v>4.8899999999999997</v>
      </c>
      <c r="H73" s="417">
        <v>2.0764999999999998</v>
      </c>
      <c r="I73" s="416">
        <f t="shared" si="17"/>
        <v>10.15</v>
      </c>
      <c r="J73" s="418">
        <f t="shared" si="18"/>
        <v>28074.9</v>
      </c>
      <c r="K73" s="419">
        <f t="shared" si="19"/>
        <v>5614.98</v>
      </c>
      <c r="L73" s="420">
        <f t="shared" si="20"/>
        <v>33689.879999999997</v>
      </c>
      <c r="M73" s="64"/>
      <c r="N73" s="77"/>
      <c r="O73" s="18"/>
      <c r="P73" s="22"/>
      <c r="Q73" s="22"/>
      <c r="R73" s="22"/>
    </row>
    <row r="74" spans="1:18" s="20" customFormat="1" ht="25.5" hidden="1" x14ac:dyDescent="0.2">
      <c r="A74" s="411" t="s">
        <v>95</v>
      </c>
      <c r="B74" s="422" t="s">
        <v>354</v>
      </c>
      <c r="C74" s="422">
        <v>62</v>
      </c>
      <c r="D74" s="422">
        <v>2</v>
      </c>
      <c r="E74" s="422">
        <f t="shared" si="16"/>
        <v>124</v>
      </c>
      <c r="F74" s="422"/>
      <c r="G74" s="416">
        <v>320.39999999999998</v>
      </c>
      <c r="H74" s="417">
        <v>2.0764999999999998</v>
      </c>
      <c r="I74" s="416">
        <f>ROUND(G74*H74,2)</f>
        <v>665.31</v>
      </c>
      <c r="J74" s="418">
        <f>ROUND(I74*E74,2)</f>
        <v>82498.44</v>
      </c>
      <c r="K74" s="419">
        <f>ROUND(J74*0.2,2)</f>
        <v>16499.689999999999</v>
      </c>
      <c r="L74" s="420">
        <f>ROUND(K74+J74,2)</f>
        <v>98998.13</v>
      </c>
      <c r="M74" s="64"/>
      <c r="N74" s="77"/>
      <c r="O74" s="18"/>
      <c r="P74" s="22"/>
      <c r="Q74" s="22"/>
      <c r="R74" s="22"/>
    </row>
    <row r="75" spans="1:18" s="20" customFormat="1" ht="51" hidden="1" x14ac:dyDescent="0.2">
      <c r="A75" s="411" t="s">
        <v>517</v>
      </c>
      <c r="B75" s="432" t="s">
        <v>508</v>
      </c>
      <c r="C75" s="414">
        <v>1</v>
      </c>
      <c r="D75" s="414">
        <v>90</v>
      </c>
      <c r="E75" s="414">
        <f t="shared" si="16"/>
        <v>90</v>
      </c>
      <c r="F75" s="422"/>
      <c r="G75" s="416">
        <v>535.76</v>
      </c>
      <c r="H75" s="435">
        <v>1.0680000000000001</v>
      </c>
      <c r="I75" s="416">
        <f t="shared" si="17"/>
        <v>572.19000000000005</v>
      </c>
      <c r="J75" s="418">
        <f t="shared" si="18"/>
        <v>51497.1</v>
      </c>
      <c r="K75" s="419">
        <f t="shared" si="19"/>
        <v>10299.42</v>
      </c>
      <c r="L75" s="420">
        <f t="shared" si="20"/>
        <v>61796.52</v>
      </c>
      <c r="M75" s="133" t="s">
        <v>495</v>
      </c>
      <c r="N75" s="77"/>
      <c r="O75" s="18"/>
      <c r="P75" s="22"/>
      <c r="Q75" s="22"/>
      <c r="R75" s="22"/>
    </row>
    <row r="76" spans="1:18" s="20" customFormat="1" ht="89.25" hidden="1" x14ac:dyDescent="0.2">
      <c r="A76" s="421" t="s">
        <v>512</v>
      </c>
      <c r="B76" s="423" t="s">
        <v>507</v>
      </c>
      <c r="C76" s="422">
        <v>7</v>
      </c>
      <c r="D76" s="422">
        <v>3</v>
      </c>
      <c r="E76" s="414">
        <f t="shared" si="16"/>
        <v>21</v>
      </c>
      <c r="F76" s="422"/>
      <c r="G76" s="416">
        <v>4248.72</v>
      </c>
      <c r="H76" s="417">
        <v>2.0764999999999998</v>
      </c>
      <c r="I76" s="416">
        <f>ROUND(G76*H76,2)</f>
        <v>8822.4699999999993</v>
      </c>
      <c r="J76" s="418">
        <f>ROUND(I76*E76,2)</f>
        <v>185271.87</v>
      </c>
      <c r="K76" s="419">
        <f>ROUND(J76*0.2,2)</f>
        <v>37054.370000000003</v>
      </c>
      <c r="L76" s="420">
        <f>ROUND(K76+J76,2)</f>
        <v>222326.24</v>
      </c>
      <c r="M76" s="143" t="s">
        <v>409</v>
      </c>
      <c r="N76" s="77"/>
      <c r="O76" s="18"/>
      <c r="P76" s="22"/>
      <c r="Q76" s="22"/>
      <c r="R76" s="22"/>
    </row>
    <row r="77" spans="1:18" s="20" customFormat="1" ht="38.25" hidden="1" x14ac:dyDescent="0.2">
      <c r="A77" s="219" t="s">
        <v>6</v>
      </c>
      <c r="B77" s="422"/>
      <c r="C77" s="422"/>
      <c r="D77" s="422"/>
      <c r="E77" s="422"/>
      <c r="F77" s="422"/>
      <c r="G77" s="416"/>
      <c r="H77" s="417"/>
      <c r="I77" s="416"/>
      <c r="J77" s="418"/>
      <c r="K77" s="419"/>
      <c r="L77" s="420"/>
      <c r="M77" s="136">
        <v>12927290.459999999</v>
      </c>
      <c r="N77" s="77"/>
      <c r="O77" s="18"/>
      <c r="P77" s="22"/>
      <c r="Q77" s="22"/>
      <c r="R77" s="22"/>
    </row>
    <row r="78" spans="1:18" s="20" customFormat="1" ht="76.5" hidden="1" x14ac:dyDescent="0.2">
      <c r="A78" s="219" t="s">
        <v>7</v>
      </c>
      <c r="B78" s="436"/>
      <c r="C78" s="223"/>
      <c r="D78" s="399"/>
      <c r="E78" s="437"/>
      <c r="F78" s="415"/>
      <c r="G78" s="416"/>
      <c r="H78" s="417"/>
      <c r="I78" s="416"/>
      <c r="J78" s="418"/>
      <c r="K78" s="419"/>
      <c r="L78" s="420"/>
      <c r="M78" s="64"/>
      <c r="N78" s="77"/>
      <c r="O78" s="18"/>
      <c r="P78" s="22"/>
      <c r="Q78" s="22"/>
      <c r="R78" s="22"/>
    </row>
    <row r="79" spans="1:18" s="20" customFormat="1" ht="12.75" hidden="1" x14ac:dyDescent="0.2">
      <c r="A79" s="224" t="s">
        <v>441</v>
      </c>
      <c r="B79" s="436"/>
      <c r="C79" s="438"/>
      <c r="D79" s="399"/>
      <c r="E79" s="437"/>
      <c r="F79" s="415"/>
      <c r="G79" s="416"/>
      <c r="H79" s="417"/>
      <c r="I79" s="416"/>
      <c r="J79" s="418"/>
      <c r="K79" s="419"/>
      <c r="L79" s="420"/>
      <c r="M79" s="64"/>
      <c r="N79" s="77"/>
      <c r="O79" s="18"/>
      <c r="P79" s="22"/>
      <c r="Q79" s="22"/>
      <c r="R79" s="22"/>
    </row>
    <row r="80" spans="1:18" s="20" customFormat="1" ht="25.5" hidden="1" x14ac:dyDescent="0.2">
      <c r="A80" s="411" t="s">
        <v>116</v>
      </c>
      <c r="B80" s="422" t="s">
        <v>118</v>
      </c>
      <c r="C80" s="422">
        <v>1.32</v>
      </c>
      <c r="D80" s="422">
        <v>3</v>
      </c>
      <c r="E80" s="422">
        <f>D80*C80</f>
        <v>3.96</v>
      </c>
      <c r="F80" s="422"/>
      <c r="G80" s="416">
        <v>44.32</v>
      </c>
      <c r="H80" s="417">
        <v>2.0764999999999998</v>
      </c>
      <c r="I80" s="416">
        <f>ROUND(G80*H80,2)</f>
        <v>92.03</v>
      </c>
      <c r="J80" s="418">
        <f t="shared" ref="J80:J111" si="21">ROUND(I80*E80,2)</f>
        <v>364.44</v>
      </c>
      <c r="K80" s="419">
        <f>ROUND(J80*0.2,2)</f>
        <v>72.89</v>
      </c>
      <c r="L80" s="420">
        <f>ROUND(K80+J80,2)</f>
        <v>437.33</v>
      </c>
      <c r="M80" s="64"/>
      <c r="N80" s="77">
        <v>187.51</v>
      </c>
      <c r="O80" s="18">
        <v>187.52</v>
      </c>
      <c r="P80" s="22"/>
      <c r="Q80" s="22"/>
      <c r="R80" s="22"/>
    </row>
    <row r="81" spans="1:18" s="20" customFormat="1" ht="25.5" hidden="1" x14ac:dyDescent="0.2">
      <c r="A81" s="411" t="s">
        <v>117</v>
      </c>
      <c r="B81" s="422" t="s">
        <v>432</v>
      </c>
      <c r="C81" s="422">
        <v>3.7999999999999999E-2</v>
      </c>
      <c r="D81" s="422">
        <v>3</v>
      </c>
      <c r="E81" s="422">
        <f>D81*C81</f>
        <v>0.11399999999999999</v>
      </c>
      <c r="F81" s="422"/>
      <c r="G81" s="416">
        <v>4728.2</v>
      </c>
      <c r="H81" s="417">
        <v>2.0764999999999998</v>
      </c>
      <c r="I81" s="416">
        <f>ROUND(G81*H81,2)</f>
        <v>9818.11</v>
      </c>
      <c r="J81" s="418">
        <f t="shared" si="21"/>
        <v>1119.26</v>
      </c>
      <c r="K81" s="419">
        <f>ROUND(J81*0.2,2)</f>
        <v>223.85</v>
      </c>
      <c r="L81" s="420">
        <f>ROUND(K81+J81,2)</f>
        <v>1343.11</v>
      </c>
      <c r="M81" s="64"/>
      <c r="N81" s="77">
        <v>863.89</v>
      </c>
      <c r="O81" s="18">
        <v>1727.79</v>
      </c>
      <c r="P81" s="22"/>
      <c r="Q81" s="22"/>
      <c r="R81" s="22"/>
    </row>
    <row r="82" spans="1:18" s="20" customFormat="1" ht="51" hidden="1" x14ac:dyDescent="0.2">
      <c r="A82" s="411" t="s">
        <v>493</v>
      </c>
      <c r="B82" s="425" t="s">
        <v>433</v>
      </c>
      <c r="C82" s="425">
        <v>132</v>
      </c>
      <c r="D82" s="425">
        <v>1</v>
      </c>
      <c r="E82" s="422">
        <f>D82*C82</f>
        <v>132</v>
      </c>
      <c r="F82" s="422"/>
      <c r="G82" s="416">
        <v>83.24</v>
      </c>
      <c r="H82" s="417">
        <v>2.0764999999999998</v>
      </c>
      <c r="I82" s="416">
        <f>ROUND(G82*H82,2)</f>
        <v>172.85</v>
      </c>
      <c r="J82" s="418">
        <f>ROUND(I82*E82,2)</f>
        <v>22816.2</v>
      </c>
      <c r="K82" s="419">
        <f>ROUND(J82*0.2,2)</f>
        <v>4563.24</v>
      </c>
      <c r="L82" s="420">
        <f>ROUND(K82+J82,2)</f>
        <v>27379.439999999999</v>
      </c>
      <c r="M82" s="64"/>
      <c r="N82" s="77"/>
      <c r="O82" s="18"/>
      <c r="P82" s="22"/>
      <c r="Q82" s="22"/>
      <c r="R82" s="22"/>
    </row>
    <row r="83" spans="1:18" s="20" customFormat="1" ht="12.75" hidden="1" x14ac:dyDescent="0.2">
      <c r="A83" s="439" t="s">
        <v>471</v>
      </c>
      <c r="B83" s="425" t="s">
        <v>433</v>
      </c>
      <c r="C83" s="425">
        <v>132</v>
      </c>
      <c r="D83" s="425">
        <v>2</v>
      </c>
      <c r="E83" s="422">
        <f>D83*C83</f>
        <v>264</v>
      </c>
      <c r="F83" s="422"/>
      <c r="G83" s="416">
        <v>2.89</v>
      </c>
      <c r="H83" s="417">
        <v>2.0764999999999998</v>
      </c>
      <c r="I83" s="416">
        <f>ROUND(G83*H83,2)</f>
        <v>6</v>
      </c>
      <c r="J83" s="418">
        <f>ROUND(I83*E83,2)</f>
        <v>1584</v>
      </c>
      <c r="K83" s="419">
        <f>ROUND(J83*0.2,2)</f>
        <v>316.8</v>
      </c>
      <c r="L83" s="420">
        <f>ROUND(K83+J83,2)</f>
        <v>1900.8</v>
      </c>
      <c r="M83" s="143" t="s">
        <v>408</v>
      </c>
      <c r="N83" s="77"/>
      <c r="O83" s="18"/>
      <c r="P83" s="22"/>
      <c r="Q83" s="22"/>
      <c r="R83" s="22"/>
    </row>
    <row r="84" spans="1:18" s="20" customFormat="1" ht="12.75" hidden="1" x14ac:dyDescent="0.2">
      <c r="A84" s="224" t="s">
        <v>12</v>
      </c>
      <c r="B84" s="425"/>
      <c r="C84" s="425"/>
      <c r="D84" s="425"/>
      <c r="E84" s="425"/>
      <c r="F84" s="422"/>
      <c r="G84" s="416"/>
      <c r="H84" s="417"/>
      <c r="I84" s="416"/>
      <c r="J84" s="418"/>
      <c r="K84" s="419"/>
      <c r="L84" s="420"/>
      <c r="M84" s="144">
        <v>27441.21</v>
      </c>
      <c r="N84" s="77"/>
      <c r="O84" s="18"/>
      <c r="P84" s="22"/>
      <c r="Q84" s="22"/>
      <c r="R84" s="22"/>
    </row>
    <row r="85" spans="1:18" s="20" customFormat="1" ht="12.75" hidden="1" x14ac:dyDescent="0.2">
      <c r="A85" s="411" t="s">
        <v>119</v>
      </c>
      <c r="B85" s="422" t="s">
        <v>432</v>
      </c>
      <c r="C85" s="425">
        <v>3.7999999999999999E-2</v>
      </c>
      <c r="D85" s="425">
        <v>6</v>
      </c>
      <c r="E85" s="422">
        <f>D85*C85</f>
        <v>0.22799999999999998</v>
      </c>
      <c r="F85" s="422"/>
      <c r="G85" s="416">
        <v>7314.22</v>
      </c>
      <c r="H85" s="417">
        <v>2.0764999999999998</v>
      </c>
      <c r="I85" s="416">
        <f>ROUND(G85*H85,2)</f>
        <v>15187.98</v>
      </c>
      <c r="J85" s="418">
        <f>ROUND(I85*E85,2)</f>
        <v>3462.86</v>
      </c>
      <c r="K85" s="419">
        <f>ROUND(J85*0.2,2)</f>
        <v>692.57</v>
      </c>
      <c r="L85" s="420">
        <f>ROUND(K85+J85,2)</f>
        <v>4155.43</v>
      </c>
      <c r="M85" s="143" t="s">
        <v>409</v>
      </c>
      <c r="N85" s="77"/>
      <c r="O85" s="18"/>
      <c r="P85" s="22"/>
      <c r="Q85" s="22"/>
      <c r="R85" s="22"/>
    </row>
    <row r="86" spans="1:18" s="20" customFormat="1" ht="38.25" hidden="1" x14ac:dyDescent="0.2">
      <c r="A86" s="411" t="s">
        <v>142</v>
      </c>
      <c r="B86" s="425" t="s">
        <v>433</v>
      </c>
      <c r="C86" s="425">
        <v>132</v>
      </c>
      <c r="D86" s="425">
        <v>6</v>
      </c>
      <c r="E86" s="422">
        <f>D86*C86</f>
        <v>792</v>
      </c>
      <c r="F86" s="422"/>
      <c r="G86" s="416">
        <v>1.99</v>
      </c>
      <c r="H86" s="417">
        <v>2.0764999999999998</v>
      </c>
      <c r="I86" s="416">
        <f>ROUND(G86*H86,2)</f>
        <v>4.13</v>
      </c>
      <c r="J86" s="418">
        <f>ROUND(I86*E86,2)</f>
        <v>3270.96</v>
      </c>
      <c r="K86" s="419">
        <f>ROUND(J86*0.2,2)</f>
        <v>654.19000000000005</v>
      </c>
      <c r="L86" s="420">
        <f>ROUND(K86+J86,2)</f>
        <v>3925.15</v>
      </c>
      <c r="M86" s="136">
        <v>4784.2199999999993</v>
      </c>
      <c r="N86" s="77"/>
      <c r="O86" s="18"/>
      <c r="P86" s="22"/>
      <c r="Q86" s="22"/>
      <c r="R86" s="22"/>
    </row>
    <row r="87" spans="1:18" s="20" customFormat="1" ht="38.25" hidden="1" x14ac:dyDescent="0.2">
      <c r="A87" s="224" t="s">
        <v>442</v>
      </c>
      <c r="B87" s="422"/>
      <c r="C87" s="422"/>
      <c r="D87" s="422"/>
      <c r="E87" s="422"/>
      <c r="F87" s="422"/>
      <c r="G87" s="416"/>
      <c r="H87" s="417"/>
      <c r="I87" s="416"/>
      <c r="J87" s="418"/>
      <c r="K87" s="419"/>
      <c r="L87" s="420"/>
      <c r="M87" s="64"/>
      <c r="N87" s="77"/>
      <c r="O87" s="18"/>
      <c r="P87" s="22"/>
      <c r="Q87" s="22"/>
      <c r="R87" s="22"/>
    </row>
    <row r="88" spans="1:18" s="20" customFormat="1" ht="51" hidden="1" x14ac:dyDescent="0.2">
      <c r="A88" s="411" t="s">
        <v>144</v>
      </c>
      <c r="B88" s="422" t="s">
        <v>435</v>
      </c>
      <c r="C88" s="422">
        <v>3</v>
      </c>
      <c r="D88" s="422">
        <v>2</v>
      </c>
      <c r="E88" s="422">
        <f t="shared" ref="E88:E94" si="22">D88*C88</f>
        <v>6</v>
      </c>
      <c r="F88" s="422"/>
      <c r="G88" s="416">
        <v>964.56</v>
      </c>
      <c r="H88" s="417">
        <v>2.0764999999999998</v>
      </c>
      <c r="I88" s="416">
        <f t="shared" ref="I88:I94" si="23">ROUND(G88*H88,2)</f>
        <v>2002.91</v>
      </c>
      <c r="J88" s="418">
        <f t="shared" si="21"/>
        <v>12017.46</v>
      </c>
      <c r="K88" s="419">
        <f t="shared" ref="K88:K94" si="24">ROUND(J88*0.2,2)</f>
        <v>2403.4899999999998</v>
      </c>
      <c r="L88" s="420">
        <f t="shared" ref="L88:L100" si="25">ROUND(K88+J88,2)</f>
        <v>14420.95</v>
      </c>
      <c r="M88" s="64"/>
      <c r="N88" s="77">
        <v>9155.9500000000007</v>
      </c>
      <c r="O88" s="18">
        <v>4577.97</v>
      </c>
      <c r="P88" s="22"/>
      <c r="Q88" s="22"/>
      <c r="R88" s="22"/>
    </row>
    <row r="89" spans="1:18" s="20" customFormat="1" ht="25.5" hidden="1" x14ac:dyDescent="0.2">
      <c r="A89" s="411" t="s">
        <v>121</v>
      </c>
      <c r="B89" s="422" t="s">
        <v>435</v>
      </c>
      <c r="C89" s="422">
        <v>2</v>
      </c>
      <c r="D89" s="422">
        <v>6</v>
      </c>
      <c r="E89" s="422">
        <f t="shared" si="22"/>
        <v>12</v>
      </c>
      <c r="F89" s="422"/>
      <c r="G89" s="416">
        <v>130.31</v>
      </c>
      <c r="H89" s="417">
        <v>10.5305</v>
      </c>
      <c r="I89" s="416">
        <f t="shared" si="23"/>
        <v>1372.23</v>
      </c>
      <c r="J89" s="418">
        <f t="shared" si="21"/>
        <v>16466.759999999998</v>
      </c>
      <c r="K89" s="419">
        <f t="shared" si="24"/>
        <v>3293.35</v>
      </c>
      <c r="L89" s="420">
        <f t="shared" si="25"/>
        <v>19760.11</v>
      </c>
      <c r="M89" s="64"/>
      <c r="N89" s="77">
        <v>8953.6299999999992</v>
      </c>
      <c r="O89" s="18">
        <v>20228.400000000001</v>
      </c>
      <c r="P89" s="22"/>
      <c r="Q89" s="22"/>
      <c r="R89" s="22"/>
    </row>
    <row r="90" spans="1:18" s="20" customFormat="1" ht="38.25" hidden="1" x14ac:dyDescent="0.2">
      <c r="A90" s="411" t="s">
        <v>423</v>
      </c>
      <c r="B90" s="422" t="s">
        <v>435</v>
      </c>
      <c r="C90" s="422">
        <v>2</v>
      </c>
      <c r="D90" s="422">
        <v>6</v>
      </c>
      <c r="E90" s="422">
        <f t="shared" si="22"/>
        <v>12</v>
      </c>
      <c r="F90" s="422"/>
      <c r="G90" s="416">
        <v>18.62</v>
      </c>
      <c r="H90" s="417">
        <v>10.5305</v>
      </c>
      <c r="I90" s="416">
        <f t="shared" si="23"/>
        <v>196.08</v>
      </c>
      <c r="J90" s="418">
        <f t="shared" si="21"/>
        <v>2352.96</v>
      </c>
      <c r="K90" s="419">
        <f t="shared" si="24"/>
        <v>470.59</v>
      </c>
      <c r="L90" s="420">
        <f t="shared" si="25"/>
        <v>2823.55</v>
      </c>
      <c r="M90" s="64"/>
      <c r="N90" s="77">
        <v>1279.3700000000001</v>
      </c>
      <c r="O90" s="18">
        <v>787.38</v>
      </c>
      <c r="P90" s="22"/>
      <c r="Q90" s="22"/>
      <c r="R90" s="22"/>
    </row>
    <row r="91" spans="1:18" s="20" customFormat="1" ht="51" hidden="1" x14ac:dyDescent="0.2">
      <c r="A91" s="411" t="s">
        <v>424</v>
      </c>
      <c r="B91" s="422" t="s">
        <v>435</v>
      </c>
      <c r="C91" s="422">
        <v>1</v>
      </c>
      <c r="D91" s="422">
        <v>2</v>
      </c>
      <c r="E91" s="422">
        <f t="shared" si="22"/>
        <v>2</v>
      </c>
      <c r="F91" s="422"/>
      <c r="G91" s="416">
        <v>161.86000000000001</v>
      </c>
      <c r="H91" s="417">
        <v>10.5305</v>
      </c>
      <c r="I91" s="416">
        <f t="shared" si="23"/>
        <v>1704.47</v>
      </c>
      <c r="J91" s="418">
        <f t="shared" si="21"/>
        <v>3408.94</v>
      </c>
      <c r="K91" s="419">
        <f t="shared" si="24"/>
        <v>681.79</v>
      </c>
      <c r="L91" s="420">
        <f t="shared" si="25"/>
        <v>4090.73</v>
      </c>
      <c r="M91" s="64"/>
      <c r="N91" s="77">
        <v>1853.5800000000002</v>
      </c>
      <c r="O91" s="18">
        <v>1325.04</v>
      </c>
      <c r="P91" s="22"/>
      <c r="Q91" s="22"/>
      <c r="R91" s="22"/>
    </row>
    <row r="92" spans="1:18" s="20" customFormat="1" ht="38.25" hidden="1" x14ac:dyDescent="0.2">
      <c r="A92" s="411" t="s">
        <v>122</v>
      </c>
      <c r="B92" s="422" t="s">
        <v>435</v>
      </c>
      <c r="C92" s="422">
        <v>1</v>
      </c>
      <c r="D92" s="422">
        <v>2</v>
      </c>
      <c r="E92" s="422">
        <f t="shared" si="22"/>
        <v>2</v>
      </c>
      <c r="F92" s="422"/>
      <c r="G92" s="416">
        <v>501.73</v>
      </c>
      <c r="H92" s="417">
        <v>10.5305</v>
      </c>
      <c r="I92" s="416">
        <f t="shared" si="23"/>
        <v>5283.47</v>
      </c>
      <c r="J92" s="418">
        <f t="shared" si="21"/>
        <v>10566.94</v>
      </c>
      <c r="K92" s="419">
        <f t="shared" si="24"/>
        <v>2113.39</v>
      </c>
      <c r="L92" s="420">
        <f t="shared" si="25"/>
        <v>12680.33</v>
      </c>
      <c r="M92" s="64"/>
      <c r="N92" s="77">
        <v>5745.67</v>
      </c>
      <c r="O92" s="18">
        <v>9353.82</v>
      </c>
      <c r="P92" s="22"/>
      <c r="Q92" s="22"/>
      <c r="R92" s="22"/>
    </row>
    <row r="93" spans="1:18" s="20" customFormat="1" ht="198.75" hidden="1" customHeight="1" x14ac:dyDescent="0.2">
      <c r="A93" s="411" t="s">
        <v>123</v>
      </c>
      <c r="B93" s="422" t="s">
        <v>435</v>
      </c>
      <c r="C93" s="422">
        <v>2</v>
      </c>
      <c r="D93" s="422">
        <v>6</v>
      </c>
      <c r="E93" s="422">
        <f t="shared" si="22"/>
        <v>12</v>
      </c>
      <c r="F93" s="422"/>
      <c r="G93" s="416">
        <v>135.63999999999999</v>
      </c>
      <c r="H93" s="417">
        <v>10.5305</v>
      </c>
      <c r="I93" s="416">
        <f t="shared" si="23"/>
        <v>1428.36</v>
      </c>
      <c r="J93" s="418">
        <f t="shared" si="21"/>
        <v>17140.32</v>
      </c>
      <c r="K93" s="419">
        <f t="shared" si="24"/>
        <v>3428.06</v>
      </c>
      <c r="L93" s="420">
        <f t="shared" si="25"/>
        <v>20568.38</v>
      </c>
      <c r="M93" s="143" t="s">
        <v>533</v>
      </c>
      <c r="N93" s="77">
        <v>9319.9</v>
      </c>
      <c r="O93" s="18">
        <v>9753.1200000000008</v>
      </c>
      <c r="P93" s="22"/>
      <c r="Q93" s="22"/>
      <c r="R93" s="22"/>
    </row>
    <row r="94" spans="1:18" s="20" customFormat="1" ht="78" hidden="1" customHeight="1" x14ac:dyDescent="0.2">
      <c r="A94" s="411" t="s">
        <v>124</v>
      </c>
      <c r="B94" s="422" t="s">
        <v>91</v>
      </c>
      <c r="C94" s="422">
        <v>1415</v>
      </c>
      <c r="D94" s="422">
        <v>1</v>
      </c>
      <c r="E94" s="422">
        <f t="shared" si="22"/>
        <v>1415</v>
      </c>
      <c r="F94" s="422"/>
      <c r="G94" s="416">
        <v>7.1</v>
      </c>
      <c r="H94" s="417">
        <v>1.1898</v>
      </c>
      <c r="I94" s="416">
        <f t="shared" si="23"/>
        <v>8.4499999999999993</v>
      </c>
      <c r="J94" s="418">
        <f t="shared" si="21"/>
        <v>11956.75</v>
      </c>
      <c r="K94" s="419">
        <f t="shared" si="24"/>
        <v>2391.35</v>
      </c>
      <c r="L94" s="420">
        <f t="shared" si="25"/>
        <v>14348.1</v>
      </c>
      <c r="M94" s="136">
        <v>92813.099999999977</v>
      </c>
      <c r="N94" s="77">
        <v>4216.3899999999994</v>
      </c>
      <c r="O94" s="18">
        <v>28345.200000000001</v>
      </c>
      <c r="P94" s="22"/>
      <c r="Q94" s="22"/>
      <c r="R94" s="22"/>
    </row>
    <row r="95" spans="1:18" s="20" customFormat="1" ht="76.5" hidden="1" x14ac:dyDescent="0.2">
      <c r="A95" s="225" t="s">
        <v>8</v>
      </c>
      <c r="B95" s="226"/>
      <c r="C95" s="226"/>
      <c r="D95" s="226"/>
      <c r="E95" s="226"/>
      <c r="F95" s="226"/>
      <c r="G95" s="416"/>
      <c r="H95" s="422"/>
      <c r="I95" s="416"/>
      <c r="J95" s="418"/>
      <c r="K95" s="419"/>
      <c r="L95" s="420"/>
      <c r="M95" s="64"/>
      <c r="N95" s="77"/>
      <c r="O95" s="18"/>
      <c r="P95" s="22"/>
      <c r="Q95" s="22"/>
      <c r="R95" s="22"/>
    </row>
    <row r="96" spans="1:18" s="20" customFormat="1" ht="12.75" hidden="1" x14ac:dyDescent="0.2">
      <c r="A96" s="224" t="s">
        <v>441</v>
      </c>
      <c r="B96" s="422"/>
      <c r="C96" s="422"/>
      <c r="D96" s="422"/>
      <c r="E96" s="422"/>
      <c r="F96" s="422"/>
      <c r="G96" s="416"/>
      <c r="H96" s="422"/>
      <c r="I96" s="416"/>
      <c r="J96" s="418"/>
      <c r="K96" s="419"/>
      <c r="L96" s="420"/>
      <c r="M96" s="64"/>
      <c r="N96" s="77"/>
      <c r="O96" s="18"/>
      <c r="P96" s="22"/>
      <c r="Q96" s="22"/>
      <c r="R96" s="22"/>
    </row>
    <row r="97" spans="1:18" s="20" customFormat="1" ht="25.5" hidden="1" x14ac:dyDescent="0.2">
      <c r="A97" s="411" t="s">
        <v>116</v>
      </c>
      <c r="B97" s="422" t="s">
        <v>118</v>
      </c>
      <c r="C97" s="422">
        <v>1.26</v>
      </c>
      <c r="D97" s="422">
        <v>2</v>
      </c>
      <c r="E97" s="422">
        <f>D97*C97</f>
        <v>2.52</v>
      </c>
      <c r="F97" s="422"/>
      <c r="G97" s="416">
        <v>44.32</v>
      </c>
      <c r="H97" s="417">
        <v>2.0764999999999998</v>
      </c>
      <c r="I97" s="416">
        <f>ROUND(G97*H97,2)</f>
        <v>92.03</v>
      </c>
      <c r="J97" s="418">
        <f t="shared" si="21"/>
        <v>231.92</v>
      </c>
      <c r="K97" s="419">
        <f>ROUND(J97*0.2,2)</f>
        <v>46.38</v>
      </c>
      <c r="L97" s="420">
        <f t="shared" si="25"/>
        <v>278.3</v>
      </c>
      <c r="M97" s="64"/>
      <c r="N97" s="77">
        <v>178.99</v>
      </c>
      <c r="O97" s="18">
        <v>178.82</v>
      </c>
      <c r="P97" s="22"/>
      <c r="Q97" s="22"/>
      <c r="R97" s="22"/>
    </row>
    <row r="98" spans="1:18" s="20" customFormat="1" ht="25.5" hidden="1" x14ac:dyDescent="0.2">
      <c r="A98" s="411" t="s">
        <v>117</v>
      </c>
      <c r="B98" s="422" t="s">
        <v>432</v>
      </c>
      <c r="C98" s="422">
        <v>3.9E-2</v>
      </c>
      <c r="D98" s="422">
        <v>3</v>
      </c>
      <c r="E98" s="422">
        <f>D98*C98</f>
        <v>0.11699999999999999</v>
      </c>
      <c r="F98" s="422"/>
      <c r="G98" s="416">
        <v>4728.2</v>
      </c>
      <c r="H98" s="417">
        <v>2.0764999999999998</v>
      </c>
      <c r="I98" s="416">
        <f>ROUND(G98*H98,2)</f>
        <v>9818.11</v>
      </c>
      <c r="J98" s="418">
        <f t="shared" si="21"/>
        <v>1148.72</v>
      </c>
      <c r="K98" s="419">
        <f>ROUND(J98*0.2,2)</f>
        <v>229.74</v>
      </c>
      <c r="L98" s="420">
        <f t="shared" si="25"/>
        <v>1378.46</v>
      </c>
      <c r="M98" s="64"/>
      <c r="N98" s="77">
        <v>886.63</v>
      </c>
      <c r="O98" s="18">
        <v>1771.53</v>
      </c>
      <c r="P98" s="22"/>
      <c r="Q98" s="22"/>
      <c r="R98" s="22"/>
    </row>
    <row r="99" spans="1:18" s="20" customFormat="1" ht="51" hidden="1" x14ac:dyDescent="0.2">
      <c r="A99" s="411" t="s">
        <v>493</v>
      </c>
      <c r="B99" s="425" t="s">
        <v>433</v>
      </c>
      <c r="C99" s="425">
        <v>132</v>
      </c>
      <c r="D99" s="425">
        <v>1</v>
      </c>
      <c r="E99" s="422">
        <f>D99*C99</f>
        <v>132</v>
      </c>
      <c r="F99" s="422"/>
      <c r="G99" s="416">
        <v>83.24</v>
      </c>
      <c r="H99" s="417">
        <v>2.0764999999999998</v>
      </c>
      <c r="I99" s="416">
        <f>ROUND(G99*H99,2)</f>
        <v>172.85</v>
      </c>
      <c r="J99" s="418">
        <f>ROUND(I99*E99,2)</f>
        <v>22816.2</v>
      </c>
      <c r="K99" s="419">
        <f>ROUND(J99*0.2,2)</f>
        <v>4563.24</v>
      </c>
      <c r="L99" s="420">
        <f t="shared" si="25"/>
        <v>27379.439999999999</v>
      </c>
      <c r="M99" s="64"/>
      <c r="N99" s="77"/>
      <c r="O99" s="18"/>
      <c r="P99" s="22"/>
      <c r="Q99" s="22"/>
      <c r="R99" s="22"/>
    </row>
    <row r="100" spans="1:18" s="20" customFormat="1" ht="12.75" hidden="1" x14ac:dyDescent="0.2">
      <c r="A100" s="439" t="s">
        <v>471</v>
      </c>
      <c r="B100" s="425" t="s">
        <v>433</v>
      </c>
      <c r="C100" s="425">
        <v>132</v>
      </c>
      <c r="D100" s="425">
        <v>2</v>
      </c>
      <c r="E100" s="422">
        <f>D100*C100</f>
        <v>264</v>
      </c>
      <c r="F100" s="422"/>
      <c r="G100" s="416">
        <v>2.89</v>
      </c>
      <c r="H100" s="417">
        <v>2.0764999999999998</v>
      </c>
      <c r="I100" s="416">
        <f>ROUND(G100*H100,2)</f>
        <v>6</v>
      </c>
      <c r="J100" s="418">
        <f>ROUND(I100*E100,2)</f>
        <v>1584</v>
      </c>
      <c r="K100" s="419">
        <f>ROUND(J100*0.2,2)</f>
        <v>316.8</v>
      </c>
      <c r="L100" s="420">
        <f t="shared" si="25"/>
        <v>1900.8</v>
      </c>
      <c r="M100" s="143" t="s">
        <v>408</v>
      </c>
      <c r="N100" s="77"/>
      <c r="O100" s="18"/>
      <c r="P100" s="22"/>
      <c r="Q100" s="22"/>
      <c r="R100" s="22"/>
    </row>
    <row r="101" spans="1:18" s="20" customFormat="1" ht="12.75" hidden="1" x14ac:dyDescent="0.2">
      <c r="A101" s="224" t="s">
        <v>12</v>
      </c>
      <c r="B101" s="425"/>
      <c r="C101" s="425"/>
      <c r="D101" s="425"/>
      <c r="E101" s="425"/>
      <c r="F101" s="422"/>
      <c r="G101" s="416"/>
      <c r="H101" s="417"/>
      <c r="I101" s="416"/>
      <c r="J101" s="418"/>
      <c r="K101" s="419"/>
      <c r="L101" s="420"/>
      <c r="M101" s="144">
        <v>27460.82</v>
      </c>
      <c r="N101" s="77"/>
      <c r="O101" s="18"/>
      <c r="P101" s="22"/>
      <c r="Q101" s="22"/>
      <c r="R101" s="22"/>
    </row>
    <row r="102" spans="1:18" s="20" customFormat="1" ht="12.75" hidden="1" x14ac:dyDescent="0.2">
      <c r="A102" s="411" t="s">
        <v>119</v>
      </c>
      <c r="B102" s="422" t="s">
        <v>432</v>
      </c>
      <c r="C102" s="425">
        <v>3.9E-2</v>
      </c>
      <c r="D102" s="425">
        <v>6</v>
      </c>
      <c r="E102" s="422">
        <f>D102*C102</f>
        <v>0.23399999999999999</v>
      </c>
      <c r="F102" s="422"/>
      <c r="G102" s="416">
        <v>7314.22</v>
      </c>
      <c r="H102" s="417">
        <v>2.0764999999999998</v>
      </c>
      <c r="I102" s="416">
        <f>ROUND(G102*H102,2)</f>
        <v>15187.98</v>
      </c>
      <c r="J102" s="418">
        <f>ROUND(I102*E102,2)</f>
        <v>3553.99</v>
      </c>
      <c r="K102" s="419">
        <f>ROUND(J102*0.2,2)</f>
        <v>710.8</v>
      </c>
      <c r="L102" s="420">
        <f t="shared" ref="L102:L117" si="26">ROUND(K102+J102,2)</f>
        <v>4264.79</v>
      </c>
      <c r="M102" s="143" t="s">
        <v>409</v>
      </c>
      <c r="N102" s="77"/>
      <c r="O102" s="18"/>
      <c r="P102" s="22"/>
      <c r="Q102" s="22"/>
      <c r="R102" s="22"/>
    </row>
    <row r="103" spans="1:18" s="20" customFormat="1" ht="51" hidden="1" x14ac:dyDescent="0.2">
      <c r="A103" s="411" t="s">
        <v>120</v>
      </c>
      <c r="B103" s="425" t="s">
        <v>433</v>
      </c>
      <c r="C103" s="425">
        <v>132</v>
      </c>
      <c r="D103" s="425">
        <v>6</v>
      </c>
      <c r="E103" s="422">
        <f>D103*C103</f>
        <v>792</v>
      </c>
      <c r="F103" s="422"/>
      <c r="G103" s="416">
        <v>1.99</v>
      </c>
      <c r="H103" s="417">
        <v>2.0764999999999998</v>
      </c>
      <c r="I103" s="416">
        <f>ROUND(G103*H103,2)</f>
        <v>4.13</v>
      </c>
      <c r="J103" s="418">
        <f>ROUND(I103*E103,2)</f>
        <v>3270.96</v>
      </c>
      <c r="K103" s="419">
        <f>ROUND(J103*0.2,2)</f>
        <v>654.19000000000005</v>
      </c>
      <c r="L103" s="420">
        <f t="shared" si="26"/>
        <v>3925.15</v>
      </c>
      <c r="M103" s="136">
        <v>4848.92</v>
      </c>
      <c r="N103" s="77"/>
      <c r="O103" s="18"/>
      <c r="P103" s="22"/>
      <c r="Q103" s="22"/>
      <c r="R103" s="22"/>
    </row>
    <row r="104" spans="1:18" s="20" customFormat="1" ht="38.25" hidden="1" x14ac:dyDescent="0.2">
      <c r="A104" s="224" t="s">
        <v>442</v>
      </c>
      <c r="B104" s="422"/>
      <c r="C104" s="422"/>
      <c r="D104" s="422"/>
      <c r="E104" s="422"/>
      <c r="F104" s="422"/>
      <c r="G104" s="416"/>
      <c r="H104" s="417"/>
      <c r="I104" s="416"/>
      <c r="J104" s="418"/>
      <c r="K104" s="419"/>
      <c r="L104" s="420"/>
      <c r="M104" s="64"/>
      <c r="N104" s="77"/>
      <c r="O104" s="18"/>
      <c r="P104" s="22"/>
      <c r="Q104" s="22"/>
      <c r="R104" s="22"/>
    </row>
    <row r="105" spans="1:18" s="20" customFormat="1" ht="51" hidden="1" x14ac:dyDescent="0.2">
      <c r="A105" s="411" t="s">
        <v>144</v>
      </c>
      <c r="B105" s="422" t="s">
        <v>422</v>
      </c>
      <c r="C105" s="422">
        <v>3</v>
      </c>
      <c r="D105" s="422">
        <v>2</v>
      </c>
      <c r="E105" s="422">
        <f t="shared" ref="E105:E111" si="27">D105*C105</f>
        <v>6</v>
      </c>
      <c r="F105" s="422"/>
      <c r="G105" s="416">
        <v>964.56</v>
      </c>
      <c r="H105" s="417">
        <v>2.0764999999999998</v>
      </c>
      <c r="I105" s="416">
        <f t="shared" ref="I105:I110" si="28">ROUND(G105*H105,2)</f>
        <v>2002.91</v>
      </c>
      <c r="J105" s="418">
        <f t="shared" si="21"/>
        <v>12017.46</v>
      </c>
      <c r="K105" s="419">
        <f t="shared" ref="K105:K111" si="29">ROUND(J105*0.2,2)</f>
        <v>2403.4899999999998</v>
      </c>
      <c r="L105" s="420">
        <f t="shared" si="26"/>
        <v>14420.95</v>
      </c>
      <c r="M105" s="64"/>
      <c r="N105" s="77">
        <v>9155.9500000000007</v>
      </c>
      <c r="O105" s="18">
        <v>4573.5</v>
      </c>
      <c r="P105" s="22"/>
      <c r="Q105" s="22"/>
      <c r="R105" s="22"/>
    </row>
    <row r="106" spans="1:18" s="20" customFormat="1" ht="25.5" hidden="1" x14ac:dyDescent="0.2">
      <c r="A106" s="411" t="s">
        <v>121</v>
      </c>
      <c r="B106" s="422" t="s">
        <v>422</v>
      </c>
      <c r="C106" s="422">
        <v>2</v>
      </c>
      <c r="D106" s="422">
        <v>6</v>
      </c>
      <c r="E106" s="422">
        <f t="shared" si="27"/>
        <v>12</v>
      </c>
      <c r="F106" s="422"/>
      <c r="G106" s="416">
        <v>130.31</v>
      </c>
      <c r="H106" s="417">
        <v>10.5305</v>
      </c>
      <c r="I106" s="416">
        <f t="shared" si="28"/>
        <v>1372.23</v>
      </c>
      <c r="J106" s="418">
        <f t="shared" si="21"/>
        <v>16466.759999999998</v>
      </c>
      <c r="K106" s="419">
        <f t="shared" si="29"/>
        <v>3293.35</v>
      </c>
      <c r="L106" s="420">
        <f t="shared" si="26"/>
        <v>19760.11</v>
      </c>
      <c r="M106" s="64"/>
      <c r="N106" s="77">
        <v>8953.6299999999992</v>
      </c>
      <c r="O106" s="18">
        <v>26971.200000000001</v>
      </c>
      <c r="P106" s="22"/>
      <c r="Q106" s="22"/>
      <c r="R106" s="22"/>
    </row>
    <row r="107" spans="1:18" s="20" customFormat="1" ht="38.25" hidden="1" x14ac:dyDescent="0.2">
      <c r="A107" s="411" t="s">
        <v>423</v>
      </c>
      <c r="B107" s="422" t="s">
        <v>422</v>
      </c>
      <c r="C107" s="422">
        <v>2</v>
      </c>
      <c r="D107" s="422">
        <v>6</v>
      </c>
      <c r="E107" s="422">
        <f t="shared" si="27"/>
        <v>12</v>
      </c>
      <c r="F107" s="422"/>
      <c r="G107" s="416">
        <v>18.62</v>
      </c>
      <c r="H107" s="417">
        <v>10.5305</v>
      </c>
      <c r="I107" s="416">
        <f t="shared" si="28"/>
        <v>196.08</v>
      </c>
      <c r="J107" s="418">
        <f t="shared" si="21"/>
        <v>2352.96</v>
      </c>
      <c r="K107" s="419">
        <f t="shared" si="29"/>
        <v>470.59</v>
      </c>
      <c r="L107" s="420">
        <f t="shared" si="26"/>
        <v>2823.55</v>
      </c>
      <c r="M107" s="64"/>
      <c r="N107" s="77">
        <v>1279.3700000000001</v>
      </c>
      <c r="O107" s="18">
        <v>524.91999999999996</v>
      </c>
      <c r="P107" s="22"/>
      <c r="Q107" s="22"/>
      <c r="R107" s="22"/>
    </row>
    <row r="108" spans="1:18" s="20" customFormat="1" ht="51" hidden="1" x14ac:dyDescent="0.2">
      <c r="A108" s="411" t="s">
        <v>424</v>
      </c>
      <c r="B108" s="422" t="s">
        <v>422</v>
      </c>
      <c r="C108" s="422">
        <v>1</v>
      </c>
      <c r="D108" s="422">
        <v>2</v>
      </c>
      <c r="E108" s="422">
        <f t="shared" si="27"/>
        <v>2</v>
      </c>
      <c r="F108" s="422"/>
      <c r="G108" s="416">
        <v>161.86000000000001</v>
      </c>
      <c r="H108" s="417">
        <v>10.5305</v>
      </c>
      <c r="I108" s="416">
        <f t="shared" si="28"/>
        <v>1704.47</v>
      </c>
      <c r="J108" s="418">
        <f t="shared" si="21"/>
        <v>3408.94</v>
      </c>
      <c r="K108" s="419">
        <f t="shared" si="29"/>
        <v>681.79</v>
      </c>
      <c r="L108" s="420">
        <f t="shared" si="26"/>
        <v>4090.73</v>
      </c>
      <c r="M108" s="64"/>
      <c r="N108" s="77">
        <v>1853.5800000000002</v>
      </c>
      <c r="O108" s="18">
        <v>1325.04</v>
      </c>
      <c r="P108" s="22"/>
      <c r="Q108" s="22"/>
      <c r="R108" s="22"/>
    </row>
    <row r="109" spans="1:18" s="20" customFormat="1" ht="38.25" hidden="1" x14ac:dyDescent="0.2">
      <c r="A109" s="411" t="s">
        <v>122</v>
      </c>
      <c r="B109" s="422" t="s">
        <v>422</v>
      </c>
      <c r="C109" s="422">
        <v>1</v>
      </c>
      <c r="D109" s="422">
        <v>2</v>
      </c>
      <c r="E109" s="422">
        <f t="shared" si="27"/>
        <v>2</v>
      </c>
      <c r="F109" s="422"/>
      <c r="G109" s="416">
        <v>501.73</v>
      </c>
      <c r="H109" s="417">
        <v>10.5305</v>
      </c>
      <c r="I109" s="416">
        <f t="shared" si="28"/>
        <v>5283.47</v>
      </c>
      <c r="J109" s="418">
        <f t="shared" si="21"/>
        <v>10566.94</v>
      </c>
      <c r="K109" s="419">
        <f t="shared" si="29"/>
        <v>2113.39</v>
      </c>
      <c r="L109" s="420">
        <f t="shared" si="26"/>
        <v>12680.33</v>
      </c>
      <c r="M109" s="64"/>
      <c r="N109" s="77">
        <v>5745.67</v>
      </c>
      <c r="O109" s="18">
        <v>9353.82</v>
      </c>
      <c r="P109" s="22"/>
      <c r="Q109" s="22"/>
      <c r="R109" s="22"/>
    </row>
    <row r="110" spans="1:18" s="20" customFormat="1" ht="51" hidden="1" x14ac:dyDescent="0.2">
      <c r="A110" s="411" t="s">
        <v>123</v>
      </c>
      <c r="B110" s="422" t="s">
        <v>422</v>
      </c>
      <c r="C110" s="422">
        <v>2</v>
      </c>
      <c r="D110" s="422">
        <v>6</v>
      </c>
      <c r="E110" s="422">
        <f t="shared" si="27"/>
        <v>12</v>
      </c>
      <c r="F110" s="422"/>
      <c r="G110" s="416">
        <v>135.63999999999999</v>
      </c>
      <c r="H110" s="417">
        <v>10.5305</v>
      </c>
      <c r="I110" s="416">
        <f t="shared" si="28"/>
        <v>1428.36</v>
      </c>
      <c r="J110" s="418">
        <f t="shared" si="21"/>
        <v>17140.32</v>
      </c>
      <c r="K110" s="419">
        <f t="shared" si="29"/>
        <v>3428.06</v>
      </c>
      <c r="L110" s="420">
        <f t="shared" si="26"/>
        <v>20568.38</v>
      </c>
      <c r="M110" s="64"/>
      <c r="N110" s="77">
        <v>9319.9</v>
      </c>
      <c r="O110" s="18">
        <v>9753.1200000000008</v>
      </c>
      <c r="P110" s="22"/>
      <c r="Q110" s="22"/>
      <c r="R110" s="22"/>
    </row>
    <row r="111" spans="1:18" s="20" customFormat="1" ht="38.25" hidden="1" x14ac:dyDescent="0.2">
      <c r="A111" s="411" t="s">
        <v>124</v>
      </c>
      <c r="B111" s="422" t="s">
        <v>91</v>
      </c>
      <c r="C111" s="422">
        <v>1415</v>
      </c>
      <c r="D111" s="422">
        <v>1</v>
      </c>
      <c r="E111" s="422">
        <f t="shared" si="27"/>
        <v>1415</v>
      </c>
      <c r="F111" s="422"/>
      <c r="G111" s="416">
        <v>7.1</v>
      </c>
      <c r="H111" s="417">
        <v>1.1898</v>
      </c>
      <c r="I111" s="416">
        <f>ROUND(G111*H111,2)</f>
        <v>8.4499999999999993</v>
      </c>
      <c r="J111" s="418">
        <f t="shared" si="21"/>
        <v>11956.75</v>
      </c>
      <c r="K111" s="419">
        <f t="shared" si="29"/>
        <v>2391.35</v>
      </c>
      <c r="L111" s="420">
        <f t="shared" si="26"/>
        <v>14348.1</v>
      </c>
      <c r="M111" s="136">
        <v>92813.099999999977</v>
      </c>
      <c r="N111" s="77">
        <v>4216.3899999999994</v>
      </c>
      <c r="O111" s="18">
        <v>28345.200000000001</v>
      </c>
      <c r="P111" s="22"/>
      <c r="Q111" s="22"/>
      <c r="R111" s="22"/>
    </row>
    <row r="112" spans="1:18" s="20" customFormat="1" ht="63.75" hidden="1" x14ac:dyDescent="0.2">
      <c r="A112" s="225" t="s">
        <v>9</v>
      </c>
      <c r="B112" s="226"/>
      <c r="C112" s="226"/>
      <c r="D112" s="226"/>
      <c r="E112" s="226"/>
      <c r="F112" s="422"/>
      <c r="G112" s="416"/>
      <c r="H112" s="422"/>
      <c r="I112" s="416"/>
      <c r="J112" s="418"/>
      <c r="K112" s="419"/>
      <c r="L112" s="420"/>
      <c r="M112" s="64"/>
      <c r="N112" s="77"/>
      <c r="O112" s="18"/>
      <c r="P112" s="22"/>
      <c r="Q112" s="22"/>
      <c r="R112" s="22"/>
    </row>
    <row r="113" spans="1:18" s="20" customFormat="1" ht="12.75" hidden="1" x14ac:dyDescent="0.2">
      <c r="A113" s="224" t="s">
        <v>441</v>
      </c>
      <c r="B113" s="422"/>
      <c r="C113" s="422"/>
      <c r="D113" s="422"/>
      <c r="E113" s="422"/>
      <c r="F113" s="422"/>
      <c r="G113" s="416"/>
      <c r="H113" s="422"/>
      <c r="I113" s="416"/>
      <c r="J113" s="418"/>
      <c r="K113" s="419"/>
      <c r="L113" s="420"/>
      <c r="M113" s="64"/>
      <c r="N113" s="77"/>
      <c r="O113" s="18"/>
      <c r="P113" s="22"/>
      <c r="Q113" s="22"/>
      <c r="R113" s="22"/>
    </row>
    <row r="114" spans="1:18" s="20" customFormat="1" ht="25.5" hidden="1" x14ac:dyDescent="0.2">
      <c r="A114" s="411" t="s">
        <v>116</v>
      </c>
      <c r="B114" s="422" t="s">
        <v>118</v>
      </c>
      <c r="C114" s="422">
        <v>1.36</v>
      </c>
      <c r="D114" s="422">
        <v>2</v>
      </c>
      <c r="E114" s="422">
        <f>D114*C114</f>
        <v>2.72</v>
      </c>
      <c r="F114" s="422"/>
      <c r="G114" s="416">
        <v>44.32</v>
      </c>
      <c r="H114" s="417">
        <v>2.0764999999999998</v>
      </c>
      <c r="I114" s="416">
        <f t="shared" ref="I114:I128" si="30">ROUND(G114*H114,2)</f>
        <v>92.03</v>
      </c>
      <c r="J114" s="418">
        <f t="shared" ref="J114:J128" si="31">ROUND(I114*E114,2)</f>
        <v>250.32</v>
      </c>
      <c r="K114" s="419">
        <f>ROUND(J114*0.2,2)</f>
        <v>50.06</v>
      </c>
      <c r="L114" s="420">
        <f t="shared" si="26"/>
        <v>300.38</v>
      </c>
      <c r="M114" s="64"/>
      <c r="N114" s="77">
        <v>193.2</v>
      </c>
      <c r="O114" s="18">
        <v>193.01</v>
      </c>
      <c r="P114" s="22"/>
      <c r="Q114" s="22"/>
      <c r="R114" s="22"/>
    </row>
    <row r="115" spans="1:18" s="20" customFormat="1" ht="25.5" hidden="1" x14ac:dyDescent="0.2">
      <c r="A115" s="411" t="s">
        <v>117</v>
      </c>
      <c r="B115" s="422" t="s">
        <v>432</v>
      </c>
      <c r="C115" s="422">
        <v>7.1999999999999995E-2</v>
      </c>
      <c r="D115" s="422">
        <v>3</v>
      </c>
      <c r="E115" s="422">
        <f>D115*C115</f>
        <v>0.21599999999999997</v>
      </c>
      <c r="F115" s="422"/>
      <c r="G115" s="416">
        <v>4728.2</v>
      </c>
      <c r="H115" s="417">
        <v>2.0764999999999998</v>
      </c>
      <c r="I115" s="416">
        <f t="shared" si="30"/>
        <v>9818.11</v>
      </c>
      <c r="J115" s="418">
        <f t="shared" si="31"/>
        <v>2120.71</v>
      </c>
      <c r="K115" s="419">
        <f>ROUND(J115*0.2,2)</f>
        <v>424.14</v>
      </c>
      <c r="L115" s="420">
        <f t="shared" si="26"/>
        <v>2544.85</v>
      </c>
      <c r="M115" s="64"/>
      <c r="N115" s="77">
        <v>1636.85</v>
      </c>
      <c r="O115" s="18">
        <v>3270.51</v>
      </c>
      <c r="P115" s="22"/>
      <c r="Q115" s="22"/>
      <c r="R115" s="22"/>
    </row>
    <row r="116" spans="1:18" s="20" customFormat="1" ht="51" hidden="1" x14ac:dyDescent="0.2">
      <c r="A116" s="411" t="s">
        <v>493</v>
      </c>
      <c r="B116" s="425" t="s">
        <v>433</v>
      </c>
      <c r="C116" s="425">
        <v>132</v>
      </c>
      <c r="D116" s="425">
        <v>1</v>
      </c>
      <c r="E116" s="422">
        <f>D116*C116</f>
        <v>132</v>
      </c>
      <c r="F116" s="422"/>
      <c r="G116" s="416">
        <v>83.24</v>
      </c>
      <c r="H116" s="417">
        <v>2.0764999999999998</v>
      </c>
      <c r="I116" s="416">
        <f>ROUND(G116*H116,2)</f>
        <v>172.85</v>
      </c>
      <c r="J116" s="418">
        <f>ROUND(I116*E116,2)</f>
        <v>22816.2</v>
      </c>
      <c r="K116" s="419">
        <f>ROUND(J116*0.2,2)</f>
        <v>4563.24</v>
      </c>
      <c r="L116" s="420">
        <f t="shared" si="26"/>
        <v>27379.439999999999</v>
      </c>
      <c r="M116" s="64"/>
      <c r="N116" s="77"/>
      <c r="O116" s="18"/>
      <c r="P116" s="22"/>
      <c r="Q116" s="22"/>
      <c r="R116" s="22"/>
    </row>
    <row r="117" spans="1:18" s="20" customFormat="1" ht="12.75" hidden="1" x14ac:dyDescent="0.2">
      <c r="A117" s="439" t="s">
        <v>471</v>
      </c>
      <c r="B117" s="425" t="s">
        <v>433</v>
      </c>
      <c r="C117" s="425">
        <v>132</v>
      </c>
      <c r="D117" s="425">
        <v>2</v>
      </c>
      <c r="E117" s="422">
        <f>D117*C117</f>
        <v>264</v>
      </c>
      <c r="F117" s="422"/>
      <c r="G117" s="416">
        <v>2.89</v>
      </c>
      <c r="H117" s="417">
        <v>2.0764999999999998</v>
      </c>
      <c r="I117" s="416">
        <f>ROUND(G117*H117,2)</f>
        <v>6</v>
      </c>
      <c r="J117" s="418">
        <f>ROUND(I117*E117,2)</f>
        <v>1584</v>
      </c>
      <c r="K117" s="419">
        <f>ROUND(J117*0.2,2)</f>
        <v>316.8</v>
      </c>
      <c r="L117" s="420">
        <f t="shared" si="26"/>
        <v>1900.8</v>
      </c>
      <c r="M117" s="73" t="s">
        <v>408</v>
      </c>
      <c r="N117" s="77"/>
      <c r="O117" s="18"/>
      <c r="P117" s="22"/>
      <c r="Q117" s="22"/>
      <c r="R117" s="22"/>
    </row>
    <row r="118" spans="1:18" s="20" customFormat="1" ht="12.75" hidden="1" x14ac:dyDescent="0.2">
      <c r="A118" s="224" t="s">
        <v>530</v>
      </c>
      <c r="B118" s="425"/>
      <c r="C118" s="425"/>
      <c r="D118" s="425"/>
      <c r="E118" s="425"/>
      <c r="F118" s="422"/>
      <c r="G118" s="416"/>
      <c r="H118" s="417"/>
      <c r="I118" s="416"/>
      <c r="J118" s="418"/>
      <c r="K118" s="419"/>
      <c r="L118" s="420"/>
      <c r="M118" s="144">
        <v>28515.72</v>
      </c>
      <c r="N118" s="77"/>
      <c r="O118" s="18"/>
      <c r="P118" s="22"/>
      <c r="Q118" s="22"/>
      <c r="R118" s="22"/>
    </row>
    <row r="119" spans="1:18" s="20" customFormat="1" ht="12.75" hidden="1" x14ac:dyDescent="0.2">
      <c r="A119" s="411" t="s">
        <v>119</v>
      </c>
      <c r="B119" s="425" t="s">
        <v>432</v>
      </c>
      <c r="C119" s="425">
        <v>7.1999999999999995E-2</v>
      </c>
      <c r="D119" s="425">
        <v>6</v>
      </c>
      <c r="E119" s="422">
        <f>D119*C119</f>
        <v>0.43199999999999994</v>
      </c>
      <c r="F119" s="422"/>
      <c r="G119" s="416">
        <v>7314.22</v>
      </c>
      <c r="H119" s="417">
        <v>2.0764999999999998</v>
      </c>
      <c r="I119" s="416">
        <f>ROUND(G119*H119,2)</f>
        <v>15187.98</v>
      </c>
      <c r="J119" s="418">
        <f>ROUND(I119*E119,2)</f>
        <v>6561.21</v>
      </c>
      <c r="K119" s="419">
        <f t="shared" ref="K119:K179" si="32">ROUND(J119*0.2,2)</f>
        <v>1312.24</v>
      </c>
      <c r="L119" s="420">
        <f t="shared" ref="L119:L179" si="33">ROUND(K119+J119,2)</f>
        <v>7873.45</v>
      </c>
      <c r="M119" s="73" t="s">
        <v>409</v>
      </c>
      <c r="N119" s="77"/>
      <c r="O119" s="18"/>
      <c r="P119" s="22"/>
      <c r="Q119" s="22"/>
      <c r="R119" s="22"/>
    </row>
    <row r="120" spans="1:18" s="20" customFormat="1" ht="51" hidden="1" x14ac:dyDescent="0.2">
      <c r="A120" s="411" t="s">
        <v>120</v>
      </c>
      <c r="B120" s="425" t="s">
        <v>433</v>
      </c>
      <c r="C120" s="425">
        <v>132</v>
      </c>
      <c r="D120" s="425">
        <v>6</v>
      </c>
      <c r="E120" s="422">
        <f>D120*C120</f>
        <v>792</v>
      </c>
      <c r="F120" s="422"/>
      <c r="G120" s="416">
        <v>1.99</v>
      </c>
      <c r="H120" s="417">
        <v>2.0764999999999998</v>
      </c>
      <c r="I120" s="416">
        <f>ROUND(G120*H120,2)</f>
        <v>4.13</v>
      </c>
      <c r="J120" s="418">
        <f>ROUND(I120*E120,2)</f>
        <v>3270.96</v>
      </c>
      <c r="K120" s="419">
        <f t="shared" si="32"/>
        <v>654.19000000000005</v>
      </c>
      <c r="L120" s="420">
        <f t="shared" si="33"/>
        <v>3925.15</v>
      </c>
      <c r="M120" s="136">
        <v>6984.2899999999991</v>
      </c>
      <c r="N120" s="77"/>
      <c r="O120" s="18"/>
      <c r="P120" s="22"/>
      <c r="Q120" s="22"/>
      <c r="R120" s="22"/>
    </row>
    <row r="121" spans="1:18" s="20" customFormat="1" ht="38.25" hidden="1" x14ac:dyDescent="0.2">
      <c r="A121" s="224" t="s">
        <v>443</v>
      </c>
      <c r="B121" s="422"/>
      <c r="C121" s="422"/>
      <c r="D121" s="422"/>
      <c r="E121" s="422"/>
      <c r="F121" s="422"/>
      <c r="G121" s="416"/>
      <c r="H121" s="416"/>
      <c r="I121" s="416"/>
      <c r="J121" s="416"/>
      <c r="K121" s="419"/>
      <c r="L121" s="420"/>
      <c r="M121" s="64"/>
      <c r="N121" s="77"/>
      <c r="O121" s="18"/>
      <c r="P121" s="22"/>
      <c r="Q121" s="22"/>
      <c r="R121" s="22"/>
    </row>
    <row r="122" spans="1:18" s="20" customFormat="1" ht="51" hidden="1" x14ac:dyDescent="0.2">
      <c r="A122" s="411" t="s">
        <v>144</v>
      </c>
      <c r="B122" s="422" t="s">
        <v>422</v>
      </c>
      <c r="C122" s="422">
        <v>3</v>
      </c>
      <c r="D122" s="422">
        <v>2</v>
      </c>
      <c r="E122" s="422">
        <f t="shared" ref="E122:E128" si="34">D122*C122</f>
        <v>6</v>
      </c>
      <c r="F122" s="422"/>
      <c r="G122" s="416">
        <v>964.56</v>
      </c>
      <c r="H122" s="417">
        <v>2.0764999999999998</v>
      </c>
      <c r="I122" s="416">
        <f t="shared" si="30"/>
        <v>2002.91</v>
      </c>
      <c r="J122" s="418">
        <f t="shared" si="31"/>
        <v>12017.46</v>
      </c>
      <c r="K122" s="419">
        <f t="shared" si="32"/>
        <v>2403.4899999999998</v>
      </c>
      <c r="L122" s="420">
        <f t="shared" si="33"/>
        <v>14420.95</v>
      </c>
      <c r="M122" s="64"/>
      <c r="N122" s="77">
        <v>9155.9500000000007</v>
      </c>
      <c r="O122" s="18">
        <v>4573.5</v>
      </c>
      <c r="P122" s="22"/>
      <c r="Q122" s="22"/>
      <c r="R122" s="22"/>
    </row>
    <row r="123" spans="1:18" s="20" customFormat="1" ht="25.5" hidden="1" x14ac:dyDescent="0.2">
      <c r="A123" s="411" t="s">
        <v>121</v>
      </c>
      <c r="B123" s="422" t="s">
        <v>422</v>
      </c>
      <c r="C123" s="422">
        <v>2</v>
      </c>
      <c r="D123" s="422">
        <v>6</v>
      </c>
      <c r="E123" s="422">
        <f t="shared" si="34"/>
        <v>12</v>
      </c>
      <c r="F123" s="422"/>
      <c r="G123" s="416">
        <v>130.31</v>
      </c>
      <c r="H123" s="417">
        <v>10.5305</v>
      </c>
      <c r="I123" s="416">
        <f t="shared" si="30"/>
        <v>1372.23</v>
      </c>
      <c r="J123" s="418">
        <f t="shared" si="31"/>
        <v>16466.759999999998</v>
      </c>
      <c r="K123" s="419">
        <f t="shared" si="32"/>
        <v>3293.35</v>
      </c>
      <c r="L123" s="420">
        <f t="shared" si="33"/>
        <v>19760.11</v>
      </c>
      <c r="M123" s="64"/>
      <c r="N123" s="77">
        <v>8953.6299999999992</v>
      </c>
      <c r="O123" s="18">
        <v>26971.200000000001</v>
      </c>
      <c r="P123" s="22"/>
      <c r="Q123" s="22"/>
      <c r="R123" s="22"/>
    </row>
    <row r="124" spans="1:18" s="20" customFormat="1" ht="38.25" hidden="1" x14ac:dyDescent="0.2">
      <c r="A124" s="411" t="s">
        <v>423</v>
      </c>
      <c r="B124" s="422" t="s">
        <v>422</v>
      </c>
      <c r="C124" s="422">
        <v>2</v>
      </c>
      <c r="D124" s="422">
        <v>6</v>
      </c>
      <c r="E124" s="422">
        <f t="shared" si="34"/>
        <v>12</v>
      </c>
      <c r="F124" s="422"/>
      <c r="G124" s="416">
        <v>18.62</v>
      </c>
      <c r="H124" s="417">
        <v>10.5305</v>
      </c>
      <c r="I124" s="416">
        <f t="shared" si="30"/>
        <v>196.08</v>
      </c>
      <c r="J124" s="418">
        <f t="shared" si="31"/>
        <v>2352.96</v>
      </c>
      <c r="K124" s="419">
        <f t="shared" si="32"/>
        <v>470.59</v>
      </c>
      <c r="L124" s="420">
        <f t="shared" si="33"/>
        <v>2823.55</v>
      </c>
      <c r="M124" s="64"/>
      <c r="N124" s="77">
        <v>1279.3700000000001</v>
      </c>
      <c r="O124" s="18">
        <v>524.91999999999996</v>
      </c>
      <c r="P124" s="22"/>
      <c r="Q124" s="22"/>
      <c r="R124" s="22"/>
    </row>
    <row r="125" spans="1:18" s="20" customFormat="1" ht="51" hidden="1" x14ac:dyDescent="0.2">
      <c r="A125" s="411" t="s">
        <v>424</v>
      </c>
      <c r="B125" s="422" t="s">
        <v>422</v>
      </c>
      <c r="C125" s="422">
        <v>1</v>
      </c>
      <c r="D125" s="422">
        <v>2</v>
      </c>
      <c r="E125" s="422">
        <f t="shared" si="34"/>
        <v>2</v>
      </c>
      <c r="F125" s="422"/>
      <c r="G125" s="416">
        <v>161.86000000000001</v>
      </c>
      <c r="H125" s="417">
        <v>10.5305</v>
      </c>
      <c r="I125" s="416">
        <f t="shared" si="30"/>
        <v>1704.47</v>
      </c>
      <c r="J125" s="418">
        <f t="shared" si="31"/>
        <v>3408.94</v>
      </c>
      <c r="K125" s="419">
        <f t="shared" si="32"/>
        <v>681.79</v>
      </c>
      <c r="L125" s="420">
        <f t="shared" si="33"/>
        <v>4090.73</v>
      </c>
      <c r="M125" s="64"/>
      <c r="N125" s="77">
        <v>1853.5800000000002</v>
      </c>
      <c r="O125" s="18">
        <v>1325.04</v>
      </c>
      <c r="P125" s="22"/>
      <c r="Q125" s="22"/>
      <c r="R125" s="22"/>
    </row>
    <row r="126" spans="1:18" s="20" customFormat="1" ht="38.25" hidden="1" x14ac:dyDescent="0.2">
      <c r="A126" s="411" t="s">
        <v>122</v>
      </c>
      <c r="B126" s="422" t="s">
        <v>422</v>
      </c>
      <c r="C126" s="422">
        <v>1</v>
      </c>
      <c r="D126" s="422">
        <v>2</v>
      </c>
      <c r="E126" s="422">
        <f t="shared" si="34"/>
        <v>2</v>
      </c>
      <c r="F126" s="422"/>
      <c r="G126" s="416">
        <v>501.73</v>
      </c>
      <c r="H126" s="417">
        <v>10.5305</v>
      </c>
      <c r="I126" s="416">
        <f t="shared" si="30"/>
        <v>5283.47</v>
      </c>
      <c r="J126" s="418">
        <f t="shared" si="31"/>
        <v>10566.94</v>
      </c>
      <c r="K126" s="419">
        <f t="shared" si="32"/>
        <v>2113.39</v>
      </c>
      <c r="L126" s="420">
        <f t="shared" si="33"/>
        <v>12680.33</v>
      </c>
      <c r="M126" s="64"/>
      <c r="N126" s="77">
        <v>5745.67</v>
      </c>
      <c r="O126" s="18">
        <v>37415.279999999999</v>
      </c>
      <c r="P126" s="22"/>
      <c r="Q126" s="22"/>
      <c r="R126" s="22"/>
    </row>
    <row r="127" spans="1:18" s="20" customFormat="1" ht="51" hidden="1" x14ac:dyDescent="0.2">
      <c r="A127" s="411" t="s">
        <v>123</v>
      </c>
      <c r="B127" s="422" t="s">
        <v>422</v>
      </c>
      <c r="C127" s="422">
        <v>2</v>
      </c>
      <c r="D127" s="422">
        <v>6</v>
      </c>
      <c r="E127" s="422">
        <f t="shared" si="34"/>
        <v>12</v>
      </c>
      <c r="F127" s="422"/>
      <c r="G127" s="416">
        <v>135.63999999999999</v>
      </c>
      <c r="H127" s="417">
        <v>10.5305</v>
      </c>
      <c r="I127" s="416">
        <f t="shared" si="30"/>
        <v>1428.36</v>
      </c>
      <c r="J127" s="418">
        <f t="shared" si="31"/>
        <v>17140.32</v>
      </c>
      <c r="K127" s="419">
        <f t="shared" si="32"/>
        <v>3428.06</v>
      </c>
      <c r="L127" s="420">
        <f t="shared" si="33"/>
        <v>20568.38</v>
      </c>
      <c r="M127" s="73" t="s">
        <v>533</v>
      </c>
      <c r="N127" s="77">
        <v>9319.9</v>
      </c>
      <c r="O127" s="18">
        <v>9753.1200000000008</v>
      </c>
      <c r="P127" s="22"/>
      <c r="Q127" s="22"/>
      <c r="R127" s="22"/>
    </row>
    <row r="128" spans="1:18" s="20" customFormat="1" ht="38.25" hidden="1" x14ac:dyDescent="0.2">
      <c r="A128" s="411" t="s">
        <v>124</v>
      </c>
      <c r="B128" s="422" t="s">
        <v>429</v>
      </c>
      <c r="C128" s="422">
        <v>1415</v>
      </c>
      <c r="D128" s="422">
        <v>1</v>
      </c>
      <c r="E128" s="422">
        <f t="shared" si="34"/>
        <v>1415</v>
      </c>
      <c r="F128" s="422"/>
      <c r="G128" s="416">
        <v>7.1</v>
      </c>
      <c r="H128" s="417">
        <v>1.1898</v>
      </c>
      <c r="I128" s="416">
        <f t="shared" si="30"/>
        <v>8.4499999999999993</v>
      </c>
      <c r="J128" s="418">
        <f t="shared" si="31"/>
        <v>11956.75</v>
      </c>
      <c r="K128" s="419">
        <f t="shared" si="32"/>
        <v>2391.35</v>
      </c>
      <c r="L128" s="420">
        <f t="shared" si="33"/>
        <v>14348.1</v>
      </c>
      <c r="M128" s="136">
        <v>92813.099999999977</v>
      </c>
      <c r="N128" s="77">
        <v>4216.3899999999994</v>
      </c>
      <c r="O128" s="18">
        <v>27241.89</v>
      </c>
      <c r="P128" s="22"/>
      <c r="Q128" s="22"/>
      <c r="R128" s="22"/>
    </row>
    <row r="129" spans="1:18" s="20" customFormat="1" ht="63.75" hidden="1" x14ac:dyDescent="0.2">
      <c r="A129" s="225" t="s">
        <v>10</v>
      </c>
      <c r="B129" s="226"/>
      <c r="C129" s="226"/>
      <c r="D129" s="226"/>
      <c r="E129" s="226"/>
      <c r="F129" s="422"/>
      <c r="G129" s="416"/>
      <c r="H129" s="422"/>
      <c r="I129" s="416"/>
      <c r="J129" s="418"/>
      <c r="K129" s="419"/>
      <c r="L129" s="420"/>
      <c r="M129" s="64"/>
      <c r="N129" s="77"/>
      <c r="O129" s="18"/>
      <c r="P129" s="22"/>
      <c r="Q129" s="22"/>
      <c r="R129" s="22"/>
    </row>
    <row r="130" spans="1:18" s="20" customFormat="1" ht="12.75" hidden="1" x14ac:dyDescent="0.2">
      <c r="A130" s="224" t="s">
        <v>441</v>
      </c>
      <c r="B130" s="422"/>
      <c r="C130" s="422"/>
      <c r="D130" s="422"/>
      <c r="E130" s="422"/>
      <c r="F130" s="422"/>
      <c r="G130" s="416"/>
      <c r="H130" s="422"/>
      <c r="I130" s="416"/>
      <c r="J130" s="418"/>
      <c r="K130" s="419"/>
      <c r="L130" s="420"/>
      <c r="M130" s="64"/>
      <c r="N130" s="77"/>
      <c r="O130" s="18"/>
      <c r="P130" s="22"/>
      <c r="Q130" s="22"/>
      <c r="R130" s="22"/>
    </row>
    <row r="131" spans="1:18" s="20" customFormat="1" ht="25.5" hidden="1" x14ac:dyDescent="0.2">
      <c r="A131" s="411" t="s">
        <v>116</v>
      </c>
      <c r="B131" s="422" t="s">
        <v>118</v>
      </c>
      <c r="C131" s="422">
        <v>1.57</v>
      </c>
      <c r="D131" s="422">
        <v>2</v>
      </c>
      <c r="E131" s="422">
        <f>D131*C131</f>
        <v>3.14</v>
      </c>
      <c r="F131" s="422"/>
      <c r="G131" s="416">
        <v>44.32</v>
      </c>
      <c r="H131" s="417">
        <v>2.0764999999999998</v>
      </c>
      <c r="I131" s="416">
        <f>ROUND(G131*H131,2)</f>
        <v>92.03</v>
      </c>
      <c r="J131" s="418">
        <f t="shared" ref="J131:J145" si="35">ROUND(I131*E131,2)</f>
        <v>288.97000000000003</v>
      </c>
      <c r="K131" s="419">
        <f t="shared" si="32"/>
        <v>57.79</v>
      </c>
      <c r="L131" s="420">
        <f t="shared" si="33"/>
        <v>346.76</v>
      </c>
      <c r="M131" s="64"/>
      <c r="N131" s="77">
        <v>223.03000000000003</v>
      </c>
      <c r="O131" s="18">
        <v>222.81</v>
      </c>
      <c r="P131" s="22"/>
      <c r="Q131" s="22"/>
      <c r="R131" s="22"/>
    </row>
    <row r="132" spans="1:18" s="20" customFormat="1" ht="25.5" hidden="1" x14ac:dyDescent="0.2">
      <c r="A132" s="411" t="s">
        <v>117</v>
      </c>
      <c r="B132" s="422" t="s">
        <v>432</v>
      </c>
      <c r="C132" s="422">
        <v>6.0000000000000001E-3</v>
      </c>
      <c r="D132" s="422">
        <v>3</v>
      </c>
      <c r="E132" s="422">
        <f>D132*C132</f>
        <v>1.8000000000000002E-2</v>
      </c>
      <c r="F132" s="422"/>
      <c r="G132" s="416">
        <v>4728.2</v>
      </c>
      <c r="H132" s="417">
        <v>2.0764999999999998</v>
      </c>
      <c r="I132" s="416">
        <f>ROUND(G132*H132,2)</f>
        <v>9818.11</v>
      </c>
      <c r="J132" s="418">
        <f t="shared" si="35"/>
        <v>176.73</v>
      </c>
      <c r="K132" s="419">
        <f t="shared" si="32"/>
        <v>35.35</v>
      </c>
      <c r="L132" s="420">
        <f t="shared" si="33"/>
        <v>212.08</v>
      </c>
      <c r="M132" s="64"/>
      <c r="N132" s="77">
        <v>136.4</v>
      </c>
      <c r="O132" s="18">
        <v>272.54000000000002</v>
      </c>
      <c r="P132" s="22"/>
      <c r="Q132" s="22"/>
      <c r="R132" s="22"/>
    </row>
    <row r="133" spans="1:18" s="20" customFormat="1" ht="51" hidden="1" x14ac:dyDescent="0.2">
      <c r="A133" s="411" t="s">
        <v>493</v>
      </c>
      <c r="B133" s="425" t="s">
        <v>433</v>
      </c>
      <c r="C133" s="425">
        <v>157</v>
      </c>
      <c r="D133" s="425">
        <v>1</v>
      </c>
      <c r="E133" s="422">
        <f>D133*C133</f>
        <v>157</v>
      </c>
      <c r="F133" s="422"/>
      <c r="G133" s="416">
        <v>83.24</v>
      </c>
      <c r="H133" s="417">
        <v>2.0764999999999998</v>
      </c>
      <c r="I133" s="416">
        <f>ROUND(G133*H133,2)</f>
        <v>172.85</v>
      </c>
      <c r="J133" s="418">
        <f>ROUND(I133*E133,2)</f>
        <v>27137.45</v>
      </c>
      <c r="K133" s="419">
        <f>ROUND(J133*0.2,2)</f>
        <v>5427.49</v>
      </c>
      <c r="L133" s="420">
        <f>ROUND(K133+J133,2)</f>
        <v>32564.94</v>
      </c>
      <c r="M133" s="64"/>
      <c r="N133" s="77"/>
      <c r="O133" s="18"/>
      <c r="P133" s="22"/>
      <c r="Q133" s="22"/>
      <c r="R133" s="22"/>
    </row>
    <row r="134" spans="1:18" s="20" customFormat="1" ht="12.75" hidden="1" x14ac:dyDescent="0.2">
      <c r="A134" s="439" t="s">
        <v>471</v>
      </c>
      <c r="B134" s="425" t="s">
        <v>433</v>
      </c>
      <c r="C134" s="425">
        <v>157</v>
      </c>
      <c r="D134" s="425">
        <v>2</v>
      </c>
      <c r="E134" s="422">
        <f>D134*C134</f>
        <v>314</v>
      </c>
      <c r="F134" s="422"/>
      <c r="G134" s="416">
        <v>2.89</v>
      </c>
      <c r="H134" s="417">
        <v>2.0764999999999998</v>
      </c>
      <c r="I134" s="416">
        <f>ROUND(G134*H134,2)</f>
        <v>6</v>
      </c>
      <c r="J134" s="418">
        <f>ROUND(I134*E134,2)</f>
        <v>1884</v>
      </c>
      <c r="K134" s="419">
        <f>ROUND(J134*0.2,2)</f>
        <v>376.8</v>
      </c>
      <c r="L134" s="420">
        <f>ROUND(K134+J134,2)</f>
        <v>2260.8000000000002</v>
      </c>
      <c r="M134" s="73" t="s">
        <v>408</v>
      </c>
      <c r="N134" s="77"/>
      <c r="O134" s="18"/>
      <c r="P134" s="22"/>
      <c r="Q134" s="22"/>
      <c r="R134" s="22"/>
    </row>
    <row r="135" spans="1:18" s="20" customFormat="1" ht="12.75" hidden="1" x14ac:dyDescent="0.2">
      <c r="A135" s="224" t="s">
        <v>530</v>
      </c>
      <c r="B135" s="425"/>
      <c r="C135" s="425"/>
      <c r="D135" s="425"/>
      <c r="E135" s="425"/>
      <c r="F135" s="422"/>
      <c r="G135" s="416"/>
      <c r="H135" s="417"/>
      <c r="I135" s="416"/>
      <c r="J135" s="418"/>
      <c r="K135" s="419"/>
      <c r="L135" s="420"/>
      <c r="M135" s="144">
        <v>31408.710000000003</v>
      </c>
      <c r="N135" s="77"/>
      <c r="O135" s="18"/>
      <c r="P135" s="22"/>
      <c r="Q135" s="22"/>
      <c r="R135" s="22"/>
    </row>
    <row r="136" spans="1:18" s="20" customFormat="1" ht="12.75" hidden="1" x14ac:dyDescent="0.2">
      <c r="A136" s="411" t="s">
        <v>119</v>
      </c>
      <c r="B136" s="425" t="s">
        <v>432</v>
      </c>
      <c r="C136" s="425">
        <v>6.0000000000000001E-3</v>
      </c>
      <c r="D136" s="425">
        <v>6</v>
      </c>
      <c r="E136" s="422">
        <f>D136*C136</f>
        <v>3.6000000000000004E-2</v>
      </c>
      <c r="F136" s="422"/>
      <c r="G136" s="416">
        <v>7314.22</v>
      </c>
      <c r="H136" s="417">
        <v>2.0764999999999998</v>
      </c>
      <c r="I136" s="416">
        <f>ROUND(G136*H136,2)</f>
        <v>15187.98</v>
      </c>
      <c r="J136" s="418">
        <f>ROUND(I136*E136,2)</f>
        <v>546.77</v>
      </c>
      <c r="K136" s="419">
        <f>ROUND(J136*0.2,2)</f>
        <v>109.35</v>
      </c>
      <c r="L136" s="420">
        <f>ROUND(K136+J136,2)</f>
        <v>656.12</v>
      </c>
      <c r="M136" s="73" t="s">
        <v>409</v>
      </c>
      <c r="N136" s="77"/>
      <c r="O136" s="18"/>
      <c r="P136" s="22"/>
      <c r="Q136" s="22"/>
      <c r="R136" s="22"/>
    </row>
    <row r="137" spans="1:18" s="20" customFormat="1" ht="51" hidden="1" x14ac:dyDescent="0.2">
      <c r="A137" s="411" t="s">
        <v>120</v>
      </c>
      <c r="B137" s="425" t="s">
        <v>433</v>
      </c>
      <c r="C137" s="425">
        <v>157</v>
      </c>
      <c r="D137" s="425">
        <v>6</v>
      </c>
      <c r="E137" s="422">
        <f>D137*C137</f>
        <v>942</v>
      </c>
      <c r="F137" s="422"/>
      <c r="G137" s="416">
        <v>1.99</v>
      </c>
      <c r="H137" s="417">
        <v>2.0764999999999998</v>
      </c>
      <c r="I137" s="416">
        <f>ROUND(G137*H137,2)</f>
        <v>4.13</v>
      </c>
      <c r="J137" s="418">
        <f>ROUND(I137*E137,2)</f>
        <v>3890.46</v>
      </c>
      <c r="K137" s="419">
        <f>ROUND(J137*0.2,2)</f>
        <v>778.09</v>
      </c>
      <c r="L137" s="420">
        <f>ROUND(K137+J137,2)</f>
        <v>4668.55</v>
      </c>
      <c r="M137" s="136">
        <v>3153.96</v>
      </c>
      <c r="N137" s="77"/>
      <c r="O137" s="18"/>
      <c r="P137" s="22"/>
      <c r="Q137" s="22"/>
      <c r="R137" s="22"/>
    </row>
    <row r="138" spans="1:18" s="20" customFormat="1" ht="38.25" hidden="1" x14ac:dyDescent="0.2">
      <c r="A138" s="224" t="s">
        <v>443</v>
      </c>
      <c r="B138" s="422"/>
      <c r="C138" s="422"/>
      <c r="D138" s="422"/>
      <c r="E138" s="422"/>
      <c r="F138" s="422"/>
      <c r="G138" s="416"/>
      <c r="H138" s="417"/>
      <c r="I138" s="416"/>
      <c r="J138" s="418"/>
      <c r="K138" s="419"/>
      <c r="L138" s="420"/>
      <c r="M138" s="64"/>
      <c r="N138" s="77"/>
      <c r="O138" s="18"/>
      <c r="P138" s="22"/>
      <c r="Q138" s="22"/>
      <c r="R138" s="22"/>
    </row>
    <row r="139" spans="1:18" s="20" customFormat="1" ht="51" hidden="1" x14ac:dyDescent="0.2">
      <c r="A139" s="411" t="s">
        <v>144</v>
      </c>
      <c r="B139" s="422" t="s">
        <v>422</v>
      </c>
      <c r="C139" s="422">
        <v>3</v>
      </c>
      <c r="D139" s="422">
        <v>2</v>
      </c>
      <c r="E139" s="422">
        <f t="shared" ref="E139:E145" si="36">D139*C139</f>
        <v>6</v>
      </c>
      <c r="F139" s="422"/>
      <c r="G139" s="416">
        <v>964.56</v>
      </c>
      <c r="H139" s="417">
        <v>2.0764999999999998</v>
      </c>
      <c r="I139" s="416">
        <f t="shared" ref="I139:I145" si="37">ROUND(G139*H139,2)</f>
        <v>2002.91</v>
      </c>
      <c r="J139" s="418">
        <f t="shared" si="35"/>
        <v>12017.46</v>
      </c>
      <c r="K139" s="419">
        <f>ROUND(J139*0.2,2)</f>
        <v>2403.4899999999998</v>
      </c>
      <c r="L139" s="420">
        <f t="shared" si="33"/>
        <v>14420.95</v>
      </c>
      <c r="M139" s="64"/>
      <c r="N139" s="77">
        <v>9155.9500000000007</v>
      </c>
      <c r="O139" s="18">
        <v>4573.5</v>
      </c>
      <c r="P139" s="22"/>
      <c r="Q139" s="22"/>
      <c r="R139" s="22"/>
    </row>
    <row r="140" spans="1:18" s="20" customFormat="1" ht="25.5" hidden="1" x14ac:dyDescent="0.2">
      <c r="A140" s="411" t="s">
        <v>121</v>
      </c>
      <c r="B140" s="422" t="s">
        <v>422</v>
      </c>
      <c r="C140" s="422">
        <v>2</v>
      </c>
      <c r="D140" s="422">
        <v>6</v>
      </c>
      <c r="E140" s="422">
        <f t="shared" si="36"/>
        <v>12</v>
      </c>
      <c r="F140" s="422"/>
      <c r="G140" s="416">
        <v>130.31</v>
      </c>
      <c r="H140" s="417">
        <v>10.5305</v>
      </c>
      <c r="I140" s="416">
        <f t="shared" si="37"/>
        <v>1372.23</v>
      </c>
      <c r="J140" s="418">
        <f t="shared" si="35"/>
        <v>16466.759999999998</v>
      </c>
      <c r="K140" s="419">
        <f t="shared" si="32"/>
        <v>3293.35</v>
      </c>
      <c r="L140" s="420">
        <f t="shared" si="33"/>
        <v>19760.11</v>
      </c>
      <c r="M140" s="64"/>
      <c r="N140" s="77">
        <v>8953.6299999999992</v>
      </c>
      <c r="O140" s="18">
        <v>26971.200000000001</v>
      </c>
      <c r="P140" s="22"/>
      <c r="Q140" s="22"/>
      <c r="R140" s="22"/>
    </row>
    <row r="141" spans="1:18" s="20" customFormat="1" ht="38.25" hidden="1" x14ac:dyDescent="0.2">
      <c r="A141" s="411" t="s">
        <v>423</v>
      </c>
      <c r="B141" s="422" t="s">
        <v>422</v>
      </c>
      <c r="C141" s="422">
        <v>2</v>
      </c>
      <c r="D141" s="422">
        <v>6</v>
      </c>
      <c r="E141" s="422">
        <f t="shared" si="36"/>
        <v>12</v>
      </c>
      <c r="F141" s="422"/>
      <c r="G141" s="416">
        <v>18.62</v>
      </c>
      <c r="H141" s="417">
        <v>10.5305</v>
      </c>
      <c r="I141" s="416">
        <f t="shared" si="37"/>
        <v>196.08</v>
      </c>
      <c r="J141" s="418">
        <f t="shared" si="35"/>
        <v>2352.96</v>
      </c>
      <c r="K141" s="419">
        <f t="shared" si="32"/>
        <v>470.59</v>
      </c>
      <c r="L141" s="420">
        <f t="shared" si="33"/>
        <v>2823.55</v>
      </c>
      <c r="M141" s="64"/>
      <c r="N141" s="77">
        <v>1279.3700000000001</v>
      </c>
      <c r="O141" s="18">
        <v>524.91999999999996</v>
      </c>
      <c r="P141" s="22"/>
      <c r="Q141" s="22"/>
      <c r="R141" s="22"/>
    </row>
    <row r="142" spans="1:18" s="20" customFormat="1" ht="51" hidden="1" x14ac:dyDescent="0.2">
      <c r="A142" s="411" t="s">
        <v>424</v>
      </c>
      <c r="B142" s="422" t="s">
        <v>422</v>
      </c>
      <c r="C142" s="422">
        <v>1</v>
      </c>
      <c r="D142" s="422">
        <v>2</v>
      </c>
      <c r="E142" s="422">
        <f t="shared" si="36"/>
        <v>2</v>
      </c>
      <c r="F142" s="422"/>
      <c r="G142" s="416">
        <v>161.86000000000001</v>
      </c>
      <c r="H142" s="417">
        <v>10.5305</v>
      </c>
      <c r="I142" s="416">
        <f t="shared" si="37"/>
        <v>1704.47</v>
      </c>
      <c r="J142" s="418">
        <f t="shared" si="35"/>
        <v>3408.94</v>
      </c>
      <c r="K142" s="419">
        <f t="shared" si="32"/>
        <v>681.79</v>
      </c>
      <c r="L142" s="420">
        <f t="shared" si="33"/>
        <v>4090.73</v>
      </c>
      <c r="M142" s="64"/>
      <c r="N142" s="77">
        <v>1853.5800000000002</v>
      </c>
      <c r="O142" s="18">
        <v>1325.04</v>
      </c>
      <c r="P142" s="22"/>
      <c r="Q142" s="22"/>
      <c r="R142" s="22"/>
    </row>
    <row r="143" spans="1:18" s="20" customFormat="1" ht="38.25" hidden="1" x14ac:dyDescent="0.2">
      <c r="A143" s="411" t="s">
        <v>122</v>
      </c>
      <c r="B143" s="422" t="s">
        <v>422</v>
      </c>
      <c r="C143" s="422">
        <v>1</v>
      </c>
      <c r="D143" s="422">
        <v>2</v>
      </c>
      <c r="E143" s="422">
        <f t="shared" si="36"/>
        <v>2</v>
      </c>
      <c r="F143" s="422"/>
      <c r="G143" s="416">
        <v>501.73</v>
      </c>
      <c r="H143" s="417">
        <v>10.5305</v>
      </c>
      <c r="I143" s="416">
        <f t="shared" si="37"/>
        <v>5283.47</v>
      </c>
      <c r="J143" s="418">
        <f t="shared" si="35"/>
        <v>10566.94</v>
      </c>
      <c r="K143" s="419">
        <f t="shared" si="32"/>
        <v>2113.39</v>
      </c>
      <c r="L143" s="420">
        <f t="shared" si="33"/>
        <v>12680.33</v>
      </c>
      <c r="M143" s="64"/>
      <c r="N143" s="77">
        <v>5745.67</v>
      </c>
      <c r="O143" s="18">
        <v>9353.82</v>
      </c>
      <c r="P143" s="22"/>
      <c r="Q143" s="22"/>
      <c r="R143" s="22"/>
    </row>
    <row r="144" spans="1:18" s="20" customFormat="1" ht="51" hidden="1" x14ac:dyDescent="0.2">
      <c r="A144" s="411" t="s">
        <v>123</v>
      </c>
      <c r="B144" s="422" t="s">
        <v>422</v>
      </c>
      <c r="C144" s="422">
        <v>2</v>
      </c>
      <c r="D144" s="422">
        <v>6</v>
      </c>
      <c r="E144" s="422">
        <f t="shared" si="36"/>
        <v>12</v>
      </c>
      <c r="F144" s="422"/>
      <c r="G144" s="416">
        <v>135.63999999999999</v>
      </c>
      <c r="H144" s="417">
        <v>10.5305</v>
      </c>
      <c r="I144" s="416">
        <f t="shared" si="37"/>
        <v>1428.36</v>
      </c>
      <c r="J144" s="418">
        <f t="shared" si="35"/>
        <v>17140.32</v>
      </c>
      <c r="K144" s="419">
        <f t="shared" si="32"/>
        <v>3428.06</v>
      </c>
      <c r="L144" s="420">
        <f t="shared" si="33"/>
        <v>20568.38</v>
      </c>
      <c r="M144" s="73" t="s">
        <v>533</v>
      </c>
      <c r="N144" s="77">
        <v>9319.9</v>
      </c>
      <c r="O144" s="18">
        <v>9753.1200000000008</v>
      </c>
      <c r="P144" s="22"/>
      <c r="Q144" s="22"/>
      <c r="R144" s="22"/>
    </row>
    <row r="145" spans="1:18" s="20" customFormat="1" ht="38.25" hidden="1" x14ac:dyDescent="0.2">
      <c r="A145" s="411" t="s">
        <v>124</v>
      </c>
      <c r="B145" s="422" t="s">
        <v>91</v>
      </c>
      <c r="C145" s="422">
        <v>1415</v>
      </c>
      <c r="D145" s="422">
        <v>1</v>
      </c>
      <c r="E145" s="422">
        <f t="shared" si="36"/>
        <v>1415</v>
      </c>
      <c r="F145" s="422"/>
      <c r="G145" s="416">
        <v>7.1</v>
      </c>
      <c r="H145" s="417">
        <v>1.1898</v>
      </c>
      <c r="I145" s="416">
        <f t="shared" si="37"/>
        <v>8.4499999999999993</v>
      </c>
      <c r="J145" s="418">
        <f t="shared" si="35"/>
        <v>11956.75</v>
      </c>
      <c r="K145" s="419">
        <f t="shared" si="32"/>
        <v>2391.35</v>
      </c>
      <c r="L145" s="420">
        <f t="shared" si="33"/>
        <v>14348.1</v>
      </c>
      <c r="M145" s="136">
        <v>92813.099999999977</v>
      </c>
      <c r="N145" s="77">
        <v>4216.3899999999994</v>
      </c>
      <c r="O145" s="18">
        <v>28345.200000000001</v>
      </c>
      <c r="P145" s="22"/>
      <c r="Q145" s="22"/>
      <c r="R145" s="22"/>
    </row>
    <row r="146" spans="1:18" s="20" customFormat="1" ht="76.5" hidden="1" x14ac:dyDescent="0.2">
      <c r="A146" s="225" t="s">
        <v>11</v>
      </c>
      <c r="B146" s="226"/>
      <c r="C146" s="226"/>
      <c r="D146" s="226"/>
      <c r="E146" s="226"/>
      <c r="F146" s="422"/>
      <c r="G146" s="416"/>
      <c r="H146" s="422"/>
      <c r="I146" s="416"/>
      <c r="J146" s="418"/>
      <c r="K146" s="419"/>
      <c r="L146" s="420"/>
      <c r="M146" s="64"/>
      <c r="N146" s="77"/>
      <c r="O146" s="18"/>
      <c r="P146" s="22"/>
      <c r="Q146" s="22"/>
      <c r="R146" s="22"/>
    </row>
    <row r="147" spans="1:18" s="20" customFormat="1" ht="12.75" hidden="1" x14ac:dyDescent="0.2">
      <c r="A147" s="224" t="s">
        <v>441</v>
      </c>
      <c r="B147" s="422"/>
      <c r="C147" s="422"/>
      <c r="D147" s="422"/>
      <c r="E147" s="422"/>
      <c r="F147" s="422"/>
      <c r="G147" s="416"/>
      <c r="H147" s="422"/>
      <c r="I147" s="416"/>
      <c r="J147" s="418"/>
      <c r="K147" s="419"/>
      <c r="L147" s="420"/>
      <c r="M147" s="64"/>
      <c r="N147" s="77"/>
      <c r="O147" s="18"/>
      <c r="P147" s="22"/>
      <c r="Q147" s="22"/>
      <c r="R147" s="22"/>
    </row>
    <row r="148" spans="1:18" s="20" customFormat="1" ht="25.5" hidden="1" x14ac:dyDescent="0.2">
      <c r="A148" s="411" t="s">
        <v>116</v>
      </c>
      <c r="B148" s="422" t="s">
        <v>118</v>
      </c>
      <c r="C148" s="422">
        <v>1.93</v>
      </c>
      <c r="D148" s="422">
        <v>2</v>
      </c>
      <c r="E148" s="422">
        <f>D148*C148</f>
        <v>3.86</v>
      </c>
      <c r="F148" s="422"/>
      <c r="G148" s="416">
        <v>44.32</v>
      </c>
      <c r="H148" s="417">
        <v>2.0764999999999998</v>
      </c>
      <c r="I148" s="416">
        <f>ROUND(G148*H148,2)</f>
        <v>92.03</v>
      </c>
      <c r="J148" s="418">
        <f>ROUND(I148*E148,2)</f>
        <v>355.24</v>
      </c>
      <c r="K148" s="419">
        <f t="shared" si="32"/>
        <v>71.05</v>
      </c>
      <c r="L148" s="420">
        <f t="shared" si="33"/>
        <v>426.29</v>
      </c>
      <c r="M148" s="64"/>
      <c r="N148" s="77">
        <v>274.15999999999997</v>
      </c>
      <c r="O148" s="18">
        <v>273.91000000000003</v>
      </c>
      <c r="P148" s="22"/>
      <c r="Q148" s="22"/>
      <c r="R148" s="22"/>
    </row>
    <row r="149" spans="1:18" s="20" customFormat="1" ht="25.5" hidden="1" x14ac:dyDescent="0.2">
      <c r="A149" s="411" t="s">
        <v>117</v>
      </c>
      <c r="B149" s="422" t="s">
        <v>432</v>
      </c>
      <c r="C149" s="422">
        <v>2.1000000000000001E-2</v>
      </c>
      <c r="D149" s="422">
        <v>3</v>
      </c>
      <c r="E149" s="422">
        <f>D149*C149</f>
        <v>6.3E-2</v>
      </c>
      <c r="F149" s="422"/>
      <c r="G149" s="416">
        <v>4728.2</v>
      </c>
      <c r="H149" s="417">
        <v>2.0764999999999998</v>
      </c>
      <c r="I149" s="416">
        <f>ROUND(G149*H149,2)</f>
        <v>9818.11</v>
      </c>
      <c r="J149" s="418">
        <f>ROUND(I149*E149,2)</f>
        <v>618.54</v>
      </c>
      <c r="K149" s="419">
        <f t="shared" si="32"/>
        <v>123.71</v>
      </c>
      <c r="L149" s="420">
        <f t="shared" si="33"/>
        <v>742.25</v>
      </c>
      <c r="M149" s="64"/>
      <c r="N149" s="77">
        <v>477.42</v>
      </c>
      <c r="O149" s="18">
        <v>953.9</v>
      </c>
      <c r="P149" s="22"/>
      <c r="Q149" s="22"/>
      <c r="R149" s="22"/>
    </row>
    <row r="150" spans="1:18" s="20" customFormat="1" ht="51" hidden="1" x14ac:dyDescent="0.2">
      <c r="A150" s="411" t="s">
        <v>493</v>
      </c>
      <c r="B150" s="425" t="s">
        <v>433</v>
      </c>
      <c r="C150" s="425">
        <v>193</v>
      </c>
      <c r="D150" s="425">
        <v>1</v>
      </c>
      <c r="E150" s="422">
        <f>D150*C150</f>
        <v>193</v>
      </c>
      <c r="F150" s="422"/>
      <c r="G150" s="416">
        <v>83.24</v>
      </c>
      <c r="H150" s="417">
        <v>2.0764999999999998</v>
      </c>
      <c r="I150" s="416">
        <f>ROUND(G150*H150,2)</f>
        <v>172.85</v>
      </c>
      <c r="J150" s="418">
        <f>ROUND(I150*E150,2)</f>
        <v>33360.050000000003</v>
      </c>
      <c r="K150" s="419">
        <f>ROUND(J150*0.2,2)</f>
        <v>6672.01</v>
      </c>
      <c r="L150" s="420">
        <f>ROUND(K150+J150,2)</f>
        <v>40032.06</v>
      </c>
      <c r="M150" s="64"/>
      <c r="N150" s="77"/>
      <c r="O150" s="18"/>
      <c r="P150" s="22"/>
      <c r="Q150" s="22"/>
      <c r="R150" s="22"/>
    </row>
    <row r="151" spans="1:18" s="20" customFormat="1" ht="12.75" hidden="1" x14ac:dyDescent="0.2">
      <c r="A151" s="439" t="s">
        <v>471</v>
      </c>
      <c r="B151" s="425" t="s">
        <v>433</v>
      </c>
      <c r="C151" s="425">
        <v>193</v>
      </c>
      <c r="D151" s="425">
        <v>2</v>
      </c>
      <c r="E151" s="422">
        <f>D151*C151</f>
        <v>386</v>
      </c>
      <c r="F151" s="422"/>
      <c r="G151" s="416">
        <v>2.89</v>
      </c>
      <c r="H151" s="417">
        <v>2.0764999999999998</v>
      </c>
      <c r="I151" s="416">
        <f>ROUND(G151*H151,2)</f>
        <v>6</v>
      </c>
      <c r="J151" s="418">
        <f>ROUND(I151*E151,2)</f>
        <v>2316</v>
      </c>
      <c r="K151" s="419">
        <f>ROUND(J151*0.2,2)</f>
        <v>463.2</v>
      </c>
      <c r="L151" s="420">
        <f>ROUND(K151+J151,2)</f>
        <v>2779.2</v>
      </c>
      <c r="M151" s="73" t="s">
        <v>408</v>
      </c>
      <c r="N151" s="77"/>
      <c r="O151" s="18"/>
      <c r="P151" s="22"/>
      <c r="Q151" s="22"/>
      <c r="R151" s="22"/>
    </row>
    <row r="152" spans="1:18" s="20" customFormat="1" ht="12.75" hidden="1" x14ac:dyDescent="0.2">
      <c r="A152" s="224" t="s">
        <v>530</v>
      </c>
      <c r="B152" s="425"/>
      <c r="C152" s="425"/>
      <c r="D152" s="425"/>
      <c r="E152" s="422"/>
      <c r="F152" s="422"/>
      <c r="G152" s="416"/>
      <c r="H152" s="417"/>
      <c r="I152" s="416"/>
      <c r="J152" s="418"/>
      <c r="K152" s="419"/>
      <c r="L152" s="420"/>
      <c r="M152" s="144">
        <v>39038.129999999997</v>
      </c>
      <c r="N152" s="77"/>
      <c r="O152" s="18"/>
      <c r="P152" s="22"/>
      <c r="Q152" s="22"/>
      <c r="R152" s="22"/>
    </row>
    <row r="153" spans="1:18" s="20" customFormat="1" ht="12.75" hidden="1" x14ac:dyDescent="0.2">
      <c r="A153" s="411" t="s">
        <v>119</v>
      </c>
      <c r="B153" s="425" t="s">
        <v>432</v>
      </c>
      <c r="C153" s="425">
        <v>2.1000000000000001E-2</v>
      </c>
      <c r="D153" s="425">
        <v>6</v>
      </c>
      <c r="E153" s="422">
        <f>D153*C153</f>
        <v>0.126</v>
      </c>
      <c r="F153" s="422"/>
      <c r="G153" s="416">
        <v>7314.22</v>
      </c>
      <c r="H153" s="417">
        <v>2.0764999999999998</v>
      </c>
      <c r="I153" s="416">
        <f>ROUND(G153*H153,2)</f>
        <v>15187.98</v>
      </c>
      <c r="J153" s="418">
        <f>ROUND(I153*E153,2)</f>
        <v>1913.69</v>
      </c>
      <c r="K153" s="419">
        <f>ROUND(J153*0.2,2)</f>
        <v>382.74</v>
      </c>
      <c r="L153" s="420">
        <f>ROUND(K153+J153,2)</f>
        <v>2296.4299999999998</v>
      </c>
      <c r="M153" s="73" t="s">
        <v>409</v>
      </c>
      <c r="N153" s="77"/>
      <c r="O153" s="18"/>
      <c r="P153" s="22"/>
      <c r="Q153" s="22"/>
      <c r="R153" s="22"/>
    </row>
    <row r="154" spans="1:18" s="20" customFormat="1" ht="51" hidden="1" x14ac:dyDescent="0.2">
      <c r="A154" s="411" t="s">
        <v>120</v>
      </c>
      <c r="B154" s="425" t="s">
        <v>433</v>
      </c>
      <c r="C154" s="425">
        <v>193</v>
      </c>
      <c r="D154" s="425">
        <v>6</v>
      </c>
      <c r="E154" s="422">
        <f>D154*C154</f>
        <v>1158</v>
      </c>
      <c r="F154" s="422"/>
      <c r="G154" s="416">
        <v>1.99</v>
      </c>
      <c r="H154" s="417">
        <v>2.0764999999999998</v>
      </c>
      <c r="I154" s="416">
        <f>ROUND(G154*H154,2)</f>
        <v>4.13</v>
      </c>
      <c r="J154" s="418">
        <f>ROUND(I154*E154,2)</f>
        <v>4782.54</v>
      </c>
      <c r="K154" s="419">
        <f>ROUND(J154*0.2,2)</f>
        <v>956.51</v>
      </c>
      <c r="L154" s="420">
        <f>ROUND(K154+J154,2)</f>
        <v>5739.05</v>
      </c>
      <c r="M154" s="136">
        <v>4758.76</v>
      </c>
      <c r="N154" s="77"/>
      <c r="O154" s="18"/>
      <c r="P154" s="22"/>
      <c r="Q154" s="22"/>
      <c r="R154" s="22"/>
    </row>
    <row r="155" spans="1:18" s="20" customFormat="1" ht="38.25" hidden="1" x14ac:dyDescent="0.2">
      <c r="A155" s="224" t="s">
        <v>442</v>
      </c>
      <c r="B155" s="422"/>
      <c r="C155" s="422"/>
      <c r="D155" s="422"/>
      <c r="E155" s="422"/>
      <c r="F155" s="422"/>
      <c r="G155" s="416"/>
      <c r="H155" s="417"/>
      <c r="I155" s="416"/>
      <c r="J155" s="418"/>
      <c r="K155" s="419"/>
      <c r="L155" s="420"/>
      <c r="M155" s="64"/>
      <c r="N155" s="77"/>
      <c r="O155" s="18"/>
      <c r="P155" s="22"/>
      <c r="Q155" s="22"/>
      <c r="R155" s="22"/>
    </row>
    <row r="156" spans="1:18" s="20" customFormat="1" ht="51" hidden="1" x14ac:dyDescent="0.2">
      <c r="A156" s="411" t="s">
        <v>144</v>
      </c>
      <c r="B156" s="422" t="s">
        <v>422</v>
      </c>
      <c r="C156" s="422">
        <v>3</v>
      </c>
      <c r="D156" s="422">
        <v>2</v>
      </c>
      <c r="E156" s="422">
        <f t="shared" ref="E156:E162" si="38">D156*C156</f>
        <v>6</v>
      </c>
      <c r="F156" s="422"/>
      <c r="G156" s="416">
        <v>964.56</v>
      </c>
      <c r="H156" s="417">
        <v>2.0764999999999998</v>
      </c>
      <c r="I156" s="416">
        <f t="shared" ref="I156:I162" si="39">ROUND(G156*H156,2)</f>
        <v>2002.91</v>
      </c>
      <c r="J156" s="418">
        <f t="shared" ref="J156:J162" si="40">ROUND(I156*E156,2)</f>
        <v>12017.46</v>
      </c>
      <c r="K156" s="419">
        <f t="shared" si="32"/>
        <v>2403.4899999999998</v>
      </c>
      <c r="L156" s="420">
        <f t="shared" si="33"/>
        <v>14420.95</v>
      </c>
      <c r="M156" s="64"/>
      <c r="N156" s="77">
        <v>9155.9500000000007</v>
      </c>
      <c r="O156" s="18">
        <v>4573.5</v>
      </c>
      <c r="P156" s="22"/>
      <c r="Q156" s="22"/>
      <c r="R156" s="22"/>
    </row>
    <row r="157" spans="1:18" s="20" customFormat="1" ht="25.5" hidden="1" x14ac:dyDescent="0.2">
      <c r="A157" s="411" t="s">
        <v>121</v>
      </c>
      <c r="B157" s="422" t="s">
        <v>422</v>
      </c>
      <c r="C157" s="422">
        <v>2</v>
      </c>
      <c r="D157" s="422">
        <v>6</v>
      </c>
      <c r="E157" s="422">
        <f t="shared" si="38"/>
        <v>12</v>
      </c>
      <c r="F157" s="422"/>
      <c r="G157" s="416">
        <v>130.31</v>
      </c>
      <c r="H157" s="417">
        <v>10.5305</v>
      </c>
      <c r="I157" s="416">
        <f t="shared" si="39"/>
        <v>1372.23</v>
      </c>
      <c r="J157" s="418">
        <f t="shared" si="40"/>
        <v>16466.759999999998</v>
      </c>
      <c r="K157" s="419">
        <f t="shared" si="32"/>
        <v>3293.35</v>
      </c>
      <c r="L157" s="420">
        <f t="shared" si="33"/>
        <v>19760.11</v>
      </c>
      <c r="M157" s="64"/>
      <c r="N157" s="77">
        <v>8953.6299999999992</v>
      </c>
      <c r="O157" s="18">
        <v>26971.200000000001</v>
      </c>
      <c r="P157" s="22"/>
      <c r="Q157" s="22"/>
      <c r="R157" s="22"/>
    </row>
    <row r="158" spans="1:18" s="20" customFormat="1" ht="38.25" hidden="1" x14ac:dyDescent="0.2">
      <c r="A158" s="411" t="s">
        <v>423</v>
      </c>
      <c r="B158" s="422" t="s">
        <v>422</v>
      </c>
      <c r="C158" s="422">
        <v>2</v>
      </c>
      <c r="D158" s="422">
        <v>6</v>
      </c>
      <c r="E158" s="422">
        <f t="shared" si="38"/>
        <v>12</v>
      </c>
      <c r="F158" s="422"/>
      <c r="G158" s="416">
        <v>18.62</v>
      </c>
      <c r="H158" s="417">
        <v>10.5305</v>
      </c>
      <c r="I158" s="416">
        <f t="shared" si="39"/>
        <v>196.08</v>
      </c>
      <c r="J158" s="418">
        <f t="shared" si="40"/>
        <v>2352.96</v>
      </c>
      <c r="K158" s="419">
        <f t="shared" si="32"/>
        <v>470.59</v>
      </c>
      <c r="L158" s="420">
        <f t="shared" si="33"/>
        <v>2823.55</v>
      </c>
      <c r="M158" s="64"/>
      <c r="N158" s="77">
        <v>1279.3700000000001</v>
      </c>
      <c r="O158" s="18">
        <v>262.45999999999998</v>
      </c>
      <c r="P158" s="22"/>
      <c r="Q158" s="22"/>
      <c r="R158" s="22"/>
    </row>
    <row r="159" spans="1:18" s="20" customFormat="1" ht="51" hidden="1" x14ac:dyDescent="0.2">
      <c r="A159" s="411" t="s">
        <v>424</v>
      </c>
      <c r="B159" s="422" t="s">
        <v>422</v>
      </c>
      <c r="C159" s="422">
        <v>1</v>
      </c>
      <c r="D159" s="422">
        <v>2</v>
      </c>
      <c r="E159" s="422">
        <f t="shared" si="38"/>
        <v>2</v>
      </c>
      <c r="F159" s="422"/>
      <c r="G159" s="416">
        <v>161.86000000000001</v>
      </c>
      <c r="H159" s="417">
        <v>10.5305</v>
      </c>
      <c r="I159" s="416">
        <f t="shared" si="39"/>
        <v>1704.47</v>
      </c>
      <c r="J159" s="418">
        <f t="shared" si="40"/>
        <v>3408.94</v>
      </c>
      <c r="K159" s="419">
        <f t="shared" si="32"/>
        <v>681.79</v>
      </c>
      <c r="L159" s="420">
        <f t="shared" si="33"/>
        <v>4090.73</v>
      </c>
      <c r="M159" s="64"/>
      <c r="N159" s="77">
        <v>1853.5800000000002</v>
      </c>
      <c r="O159" s="18">
        <v>1325.04</v>
      </c>
      <c r="P159" s="22"/>
      <c r="Q159" s="22"/>
      <c r="R159" s="22"/>
    </row>
    <row r="160" spans="1:18" s="20" customFormat="1" ht="38.25" hidden="1" x14ac:dyDescent="0.2">
      <c r="A160" s="411" t="s">
        <v>122</v>
      </c>
      <c r="B160" s="422" t="s">
        <v>422</v>
      </c>
      <c r="C160" s="422">
        <v>1</v>
      </c>
      <c r="D160" s="422">
        <v>2</v>
      </c>
      <c r="E160" s="422">
        <f t="shared" si="38"/>
        <v>2</v>
      </c>
      <c r="F160" s="422"/>
      <c r="G160" s="416">
        <v>501.73</v>
      </c>
      <c r="H160" s="417">
        <v>10.5305</v>
      </c>
      <c r="I160" s="416">
        <f t="shared" si="39"/>
        <v>5283.47</v>
      </c>
      <c r="J160" s="418">
        <f t="shared" si="40"/>
        <v>10566.94</v>
      </c>
      <c r="K160" s="419">
        <f t="shared" si="32"/>
        <v>2113.39</v>
      </c>
      <c r="L160" s="420">
        <f t="shared" si="33"/>
        <v>12680.33</v>
      </c>
      <c r="M160" s="64"/>
      <c r="N160" s="77">
        <v>5745.67</v>
      </c>
      <c r="O160" s="18">
        <v>9353.82</v>
      </c>
      <c r="P160" s="22"/>
      <c r="Q160" s="22"/>
      <c r="R160" s="22"/>
    </row>
    <row r="161" spans="1:18" s="20" customFormat="1" ht="51" hidden="1" x14ac:dyDescent="0.2">
      <c r="A161" s="411" t="s">
        <v>123</v>
      </c>
      <c r="B161" s="422" t="s">
        <v>422</v>
      </c>
      <c r="C161" s="422">
        <v>2</v>
      </c>
      <c r="D161" s="422">
        <v>6</v>
      </c>
      <c r="E161" s="422">
        <f t="shared" si="38"/>
        <v>12</v>
      </c>
      <c r="F161" s="422"/>
      <c r="G161" s="416">
        <v>135.63999999999999</v>
      </c>
      <c r="H161" s="417">
        <v>10.5305</v>
      </c>
      <c r="I161" s="416">
        <f t="shared" si="39"/>
        <v>1428.36</v>
      </c>
      <c r="J161" s="418">
        <f t="shared" si="40"/>
        <v>17140.32</v>
      </c>
      <c r="K161" s="419">
        <f t="shared" si="32"/>
        <v>3428.06</v>
      </c>
      <c r="L161" s="420">
        <f t="shared" si="33"/>
        <v>20568.38</v>
      </c>
      <c r="M161" s="73" t="s">
        <v>533</v>
      </c>
      <c r="N161" s="77">
        <v>9319.9</v>
      </c>
      <c r="O161" s="18">
        <v>4876.5600000000004</v>
      </c>
      <c r="P161" s="22"/>
      <c r="Q161" s="22"/>
      <c r="R161" s="22"/>
    </row>
    <row r="162" spans="1:18" s="20" customFormat="1" ht="38.25" hidden="1" x14ac:dyDescent="0.2">
      <c r="A162" s="411" t="s">
        <v>124</v>
      </c>
      <c r="B162" s="422" t="s">
        <v>91</v>
      </c>
      <c r="C162" s="422">
        <v>1415</v>
      </c>
      <c r="D162" s="422">
        <v>1</v>
      </c>
      <c r="E162" s="422">
        <f t="shared" si="38"/>
        <v>1415</v>
      </c>
      <c r="F162" s="422"/>
      <c r="G162" s="416">
        <v>7.1</v>
      </c>
      <c r="H162" s="417">
        <v>1.1898</v>
      </c>
      <c r="I162" s="416">
        <f t="shared" si="39"/>
        <v>8.4499999999999993</v>
      </c>
      <c r="J162" s="418">
        <f t="shared" si="40"/>
        <v>11956.75</v>
      </c>
      <c r="K162" s="419">
        <f t="shared" si="32"/>
        <v>2391.35</v>
      </c>
      <c r="L162" s="420">
        <f t="shared" si="33"/>
        <v>14348.1</v>
      </c>
      <c r="M162" s="136">
        <v>92813.099999999977</v>
      </c>
      <c r="N162" s="77">
        <v>4216.3899999999994</v>
      </c>
      <c r="O162" s="18">
        <v>27241.89</v>
      </c>
      <c r="P162" s="22"/>
      <c r="Q162" s="22"/>
      <c r="R162" s="22"/>
    </row>
    <row r="163" spans="1:18" s="20" customFormat="1" ht="63.75" hidden="1" x14ac:dyDescent="0.2">
      <c r="A163" s="225" t="s">
        <v>13</v>
      </c>
      <c r="B163" s="441"/>
      <c r="C163" s="441"/>
      <c r="D163" s="244"/>
      <c r="E163" s="422"/>
      <c r="F163" s="422"/>
      <c r="G163" s="416"/>
      <c r="H163" s="422"/>
      <c r="I163" s="416"/>
      <c r="J163" s="418"/>
      <c r="K163" s="419"/>
      <c r="L163" s="420"/>
      <c r="M163" s="64"/>
      <c r="N163" s="77"/>
      <c r="O163" s="18"/>
      <c r="P163" s="22"/>
      <c r="Q163" s="22"/>
      <c r="R163" s="22"/>
    </row>
    <row r="164" spans="1:18" s="20" customFormat="1" ht="12.75" hidden="1" x14ac:dyDescent="0.2">
      <c r="A164" s="224" t="s">
        <v>441</v>
      </c>
      <c r="B164" s="422"/>
      <c r="C164" s="422"/>
      <c r="D164" s="422"/>
      <c r="E164" s="422"/>
      <c r="F164" s="422"/>
      <c r="G164" s="416"/>
      <c r="H164" s="422"/>
      <c r="I164" s="416"/>
      <c r="J164" s="418"/>
      <c r="K164" s="419"/>
      <c r="L164" s="420"/>
      <c r="M164" s="64"/>
      <c r="N164" s="77"/>
      <c r="O164" s="18"/>
      <c r="P164" s="22"/>
      <c r="Q164" s="22"/>
      <c r="R164" s="22"/>
    </row>
    <row r="165" spans="1:18" s="20" customFormat="1" ht="25.5" hidden="1" x14ac:dyDescent="0.2">
      <c r="A165" s="411" t="s">
        <v>116</v>
      </c>
      <c r="B165" s="422" t="s">
        <v>118</v>
      </c>
      <c r="C165" s="422">
        <v>1.82</v>
      </c>
      <c r="D165" s="422">
        <v>2</v>
      </c>
      <c r="E165" s="422">
        <f>D165*C165</f>
        <v>3.64</v>
      </c>
      <c r="F165" s="422"/>
      <c r="G165" s="416">
        <v>44.32</v>
      </c>
      <c r="H165" s="417">
        <v>2.0764999999999998</v>
      </c>
      <c r="I165" s="416">
        <f>ROUND(G165*H165,2)</f>
        <v>92.03</v>
      </c>
      <c r="J165" s="418">
        <f>ROUND(I165*E165,2)</f>
        <v>334.99</v>
      </c>
      <c r="K165" s="419">
        <f t="shared" si="32"/>
        <v>67</v>
      </c>
      <c r="L165" s="420">
        <f t="shared" si="33"/>
        <v>401.99</v>
      </c>
      <c r="M165" s="64"/>
      <c r="N165" s="77">
        <v>258.53999999999996</v>
      </c>
      <c r="O165" s="18">
        <v>258.29000000000002</v>
      </c>
      <c r="P165" s="22"/>
      <c r="Q165" s="22"/>
      <c r="R165" s="22"/>
    </row>
    <row r="166" spans="1:18" s="20" customFormat="1" ht="25.5" hidden="1" x14ac:dyDescent="0.2">
      <c r="A166" s="411" t="s">
        <v>117</v>
      </c>
      <c r="B166" s="422" t="s">
        <v>432</v>
      </c>
      <c r="C166" s="422">
        <v>1.7000000000000001E-2</v>
      </c>
      <c r="D166" s="422">
        <v>3</v>
      </c>
      <c r="E166" s="422">
        <f>D166*C166</f>
        <v>5.1000000000000004E-2</v>
      </c>
      <c r="F166" s="422"/>
      <c r="G166" s="416">
        <v>4728.2</v>
      </c>
      <c r="H166" s="417">
        <v>2.0764999999999998</v>
      </c>
      <c r="I166" s="416">
        <f>ROUND(G166*H166,2)</f>
        <v>9818.11</v>
      </c>
      <c r="J166" s="418">
        <f>ROUND(I166*E166,2)</f>
        <v>500.72</v>
      </c>
      <c r="K166" s="419">
        <f t="shared" si="32"/>
        <v>100.14</v>
      </c>
      <c r="L166" s="420">
        <f t="shared" si="33"/>
        <v>600.86</v>
      </c>
      <c r="M166" s="64"/>
      <c r="N166" s="77">
        <v>386.48</v>
      </c>
      <c r="O166" s="18">
        <v>772.2</v>
      </c>
      <c r="P166" s="22"/>
      <c r="Q166" s="22"/>
      <c r="R166" s="22"/>
    </row>
    <row r="167" spans="1:18" s="20" customFormat="1" ht="51" hidden="1" x14ac:dyDescent="0.2">
      <c r="A167" s="411" t="s">
        <v>493</v>
      </c>
      <c r="B167" s="425" t="s">
        <v>433</v>
      </c>
      <c r="C167" s="425">
        <v>182</v>
      </c>
      <c r="D167" s="425">
        <v>1</v>
      </c>
      <c r="E167" s="422">
        <f>D167*C167</f>
        <v>182</v>
      </c>
      <c r="F167" s="422"/>
      <c r="G167" s="416">
        <v>83.24</v>
      </c>
      <c r="H167" s="417">
        <v>2.0764999999999998</v>
      </c>
      <c r="I167" s="416">
        <f>ROUND(G167*H167,2)</f>
        <v>172.85</v>
      </c>
      <c r="J167" s="418">
        <f>ROUND(I167*E167,2)</f>
        <v>31458.7</v>
      </c>
      <c r="K167" s="419">
        <f>ROUND(J167*0.2,2)</f>
        <v>6291.74</v>
      </c>
      <c r="L167" s="420">
        <f>ROUND(K167+J167,2)</f>
        <v>37750.44</v>
      </c>
      <c r="M167" s="64"/>
      <c r="N167" s="77"/>
      <c r="O167" s="18"/>
      <c r="P167" s="22"/>
      <c r="Q167" s="22"/>
      <c r="R167" s="22"/>
    </row>
    <row r="168" spans="1:18" s="20" customFormat="1" ht="12.75" hidden="1" x14ac:dyDescent="0.2">
      <c r="A168" s="439" t="s">
        <v>471</v>
      </c>
      <c r="B168" s="425" t="s">
        <v>433</v>
      </c>
      <c r="C168" s="425">
        <v>182</v>
      </c>
      <c r="D168" s="425">
        <v>2</v>
      </c>
      <c r="E168" s="422">
        <f>D168*C168</f>
        <v>364</v>
      </c>
      <c r="F168" s="422"/>
      <c r="G168" s="416">
        <v>2.89</v>
      </c>
      <c r="H168" s="417">
        <v>2.0764999999999998</v>
      </c>
      <c r="I168" s="416">
        <f>ROUND(G168*H168,2)</f>
        <v>6</v>
      </c>
      <c r="J168" s="418">
        <f>ROUND(I168*E168,2)</f>
        <v>2184</v>
      </c>
      <c r="K168" s="419">
        <f>ROUND(J168*0.2,2)</f>
        <v>436.8</v>
      </c>
      <c r="L168" s="420">
        <f>ROUND(K168+J168,2)</f>
        <v>2620.8000000000002</v>
      </c>
      <c r="M168" s="73" t="s">
        <v>408</v>
      </c>
      <c r="N168" s="77"/>
      <c r="O168" s="18"/>
      <c r="P168" s="22"/>
      <c r="Q168" s="22"/>
      <c r="R168" s="22"/>
    </row>
    <row r="169" spans="1:18" s="20" customFormat="1" ht="12.75" hidden="1" x14ac:dyDescent="0.2">
      <c r="A169" s="224" t="s">
        <v>12</v>
      </c>
      <c r="B169" s="425"/>
      <c r="C169" s="425"/>
      <c r="D169" s="425"/>
      <c r="E169" s="422"/>
      <c r="F169" s="422"/>
      <c r="G169" s="416"/>
      <c r="H169" s="417"/>
      <c r="I169" s="416"/>
      <c r="J169" s="418"/>
      <c r="K169" s="419"/>
      <c r="L169" s="420"/>
      <c r="M169" s="144">
        <v>36725.22</v>
      </c>
      <c r="N169" s="77"/>
      <c r="O169" s="18"/>
      <c r="P169" s="22"/>
      <c r="Q169" s="22"/>
      <c r="R169" s="22"/>
    </row>
    <row r="170" spans="1:18" s="20" customFormat="1" ht="12.75" hidden="1" x14ac:dyDescent="0.2">
      <c r="A170" s="411" t="s">
        <v>119</v>
      </c>
      <c r="B170" s="425" t="s">
        <v>432</v>
      </c>
      <c r="C170" s="425">
        <v>1.7000000000000001E-2</v>
      </c>
      <c r="D170" s="425">
        <v>6</v>
      </c>
      <c r="E170" s="422">
        <f>D170*C170</f>
        <v>0.10200000000000001</v>
      </c>
      <c r="F170" s="422"/>
      <c r="G170" s="416">
        <v>7314.22</v>
      </c>
      <c r="H170" s="417">
        <v>2.0764999999999998</v>
      </c>
      <c r="I170" s="416">
        <f>ROUND(G170*H170,2)</f>
        <v>15187.98</v>
      </c>
      <c r="J170" s="418">
        <f>ROUND(I170*E170,2)</f>
        <v>1549.17</v>
      </c>
      <c r="K170" s="419">
        <f>ROUND(J170*0.2,2)</f>
        <v>309.83</v>
      </c>
      <c r="L170" s="420">
        <f>ROUND(K170+J170,2)</f>
        <v>1859</v>
      </c>
      <c r="M170" s="73" t="s">
        <v>409</v>
      </c>
      <c r="N170" s="77"/>
      <c r="O170" s="18"/>
      <c r="P170" s="22"/>
      <c r="Q170" s="22"/>
      <c r="R170" s="22"/>
    </row>
    <row r="171" spans="1:18" s="20" customFormat="1" ht="51" hidden="1" x14ac:dyDescent="0.2">
      <c r="A171" s="411" t="s">
        <v>120</v>
      </c>
      <c r="B171" s="425" t="s">
        <v>433</v>
      </c>
      <c r="C171" s="425">
        <v>182</v>
      </c>
      <c r="D171" s="425">
        <v>6</v>
      </c>
      <c r="E171" s="422">
        <f>D171*C171</f>
        <v>1092</v>
      </c>
      <c r="F171" s="422"/>
      <c r="G171" s="416">
        <v>1.99</v>
      </c>
      <c r="H171" s="417">
        <v>2.0764999999999998</v>
      </c>
      <c r="I171" s="416">
        <f>ROUND(G171*H171,2)</f>
        <v>4.13</v>
      </c>
      <c r="J171" s="418">
        <f>ROUND(I171*E171,2)</f>
        <v>4509.96</v>
      </c>
      <c r="K171" s="419">
        <f>ROUND(J171*0.2,2)</f>
        <v>901.99</v>
      </c>
      <c r="L171" s="420">
        <f>ROUND(K171+J171,2)</f>
        <v>5411.95</v>
      </c>
      <c r="M171" s="136">
        <v>4306.1499999999996</v>
      </c>
      <c r="N171" s="77"/>
      <c r="O171" s="18"/>
      <c r="P171" s="22"/>
      <c r="Q171" s="22"/>
      <c r="R171" s="22"/>
    </row>
    <row r="172" spans="1:18" s="20" customFormat="1" ht="38.25" hidden="1" x14ac:dyDescent="0.2">
      <c r="A172" s="228" t="s">
        <v>442</v>
      </c>
      <c r="B172" s="422"/>
      <c r="C172" s="422"/>
      <c r="D172" s="422"/>
      <c r="E172" s="422"/>
      <c r="F172" s="422"/>
      <c r="G172" s="416"/>
      <c r="H172" s="417"/>
      <c r="I172" s="416"/>
      <c r="J172" s="418"/>
      <c r="K172" s="419"/>
      <c r="L172" s="420"/>
      <c r="M172" s="64"/>
      <c r="N172" s="77"/>
      <c r="O172" s="18"/>
      <c r="P172" s="22"/>
      <c r="Q172" s="22"/>
      <c r="R172" s="22"/>
    </row>
    <row r="173" spans="1:18" s="20" customFormat="1" ht="51" hidden="1" x14ac:dyDescent="0.2">
      <c r="A173" s="411" t="s">
        <v>144</v>
      </c>
      <c r="B173" s="422" t="s">
        <v>422</v>
      </c>
      <c r="C173" s="422">
        <v>3</v>
      </c>
      <c r="D173" s="422">
        <v>2</v>
      </c>
      <c r="E173" s="422">
        <f t="shared" ref="E173:E179" si="41">D173*C173</f>
        <v>6</v>
      </c>
      <c r="F173" s="422"/>
      <c r="G173" s="416">
        <v>964.56</v>
      </c>
      <c r="H173" s="417">
        <f>1.8431*1.049</f>
        <v>1.9334118999999999</v>
      </c>
      <c r="I173" s="416">
        <f t="shared" ref="I173:I179" si="42">ROUND(G173*H173,2)</f>
        <v>1864.89</v>
      </c>
      <c r="J173" s="418">
        <f t="shared" ref="J173:J179" si="43">ROUND(I173*E173,2)</f>
        <v>11189.34</v>
      </c>
      <c r="K173" s="419">
        <f t="shared" si="32"/>
        <v>2237.87</v>
      </c>
      <c r="L173" s="420">
        <f t="shared" si="33"/>
        <v>13427.21</v>
      </c>
      <c r="M173" s="64"/>
      <c r="N173" s="77">
        <v>9155.9500000000007</v>
      </c>
      <c r="O173" s="18">
        <v>4573.5</v>
      </c>
      <c r="P173" s="22"/>
      <c r="Q173" s="22"/>
      <c r="R173" s="22"/>
    </row>
    <row r="174" spans="1:18" s="20" customFormat="1" ht="25.5" hidden="1" x14ac:dyDescent="0.2">
      <c r="A174" s="411" t="s">
        <v>121</v>
      </c>
      <c r="B174" s="422" t="s">
        <v>422</v>
      </c>
      <c r="C174" s="422">
        <v>2</v>
      </c>
      <c r="D174" s="422">
        <v>6</v>
      </c>
      <c r="E174" s="422">
        <f t="shared" si="41"/>
        <v>12</v>
      </c>
      <c r="F174" s="422"/>
      <c r="G174" s="416">
        <v>130.31</v>
      </c>
      <c r="H174" s="417">
        <v>10.5305</v>
      </c>
      <c r="I174" s="416">
        <f t="shared" si="42"/>
        <v>1372.23</v>
      </c>
      <c r="J174" s="418">
        <f t="shared" si="43"/>
        <v>16466.759999999998</v>
      </c>
      <c r="K174" s="419">
        <f t="shared" si="32"/>
        <v>3293.35</v>
      </c>
      <c r="L174" s="420">
        <f t="shared" si="33"/>
        <v>19760.11</v>
      </c>
      <c r="M174" s="64"/>
      <c r="N174" s="77">
        <v>8953.6299999999992</v>
      </c>
      <c r="O174" s="18">
        <v>26971.200000000001</v>
      </c>
      <c r="P174" s="22"/>
      <c r="Q174" s="22"/>
      <c r="R174" s="22"/>
    </row>
    <row r="175" spans="1:18" s="20" customFormat="1" ht="38.25" hidden="1" x14ac:dyDescent="0.2">
      <c r="A175" s="411" t="s">
        <v>423</v>
      </c>
      <c r="B175" s="422" t="s">
        <v>422</v>
      </c>
      <c r="C175" s="422">
        <v>2</v>
      </c>
      <c r="D175" s="422">
        <v>6</v>
      </c>
      <c r="E175" s="422">
        <f t="shared" si="41"/>
        <v>12</v>
      </c>
      <c r="F175" s="422"/>
      <c r="G175" s="416">
        <v>18.62</v>
      </c>
      <c r="H175" s="417">
        <v>10.5305</v>
      </c>
      <c r="I175" s="416">
        <f t="shared" si="42"/>
        <v>196.08</v>
      </c>
      <c r="J175" s="418">
        <f t="shared" si="43"/>
        <v>2352.96</v>
      </c>
      <c r="K175" s="419">
        <f t="shared" si="32"/>
        <v>470.59</v>
      </c>
      <c r="L175" s="420">
        <f t="shared" si="33"/>
        <v>2823.55</v>
      </c>
      <c r="M175" s="64"/>
      <c r="N175" s="77">
        <v>1279.3700000000001</v>
      </c>
      <c r="O175" s="18">
        <v>524.91999999999996</v>
      </c>
      <c r="P175" s="22"/>
      <c r="Q175" s="22"/>
      <c r="R175" s="22"/>
    </row>
    <row r="176" spans="1:18" s="20" customFormat="1" ht="51" hidden="1" x14ac:dyDescent="0.2">
      <c r="A176" s="411" t="s">
        <v>424</v>
      </c>
      <c r="B176" s="422" t="s">
        <v>422</v>
      </c>
      <c r="C176" s="422">
        <v>1</v>
      </c>
      <c r="D176" s="422">
        <v>2</v>
      </c>
      <c r="E176" s="422">
        <f t="shared" si="41"/>
        <v>2</v>
      </c>
      <c r="F176" s="422"/>
      <c r="G176" s="416">
        <v>161.86000000000001</v>
      </c>
      <c r="H176" s="417">
        <v>10.5305</v>
      </c>
      <c r="I176" s="416">
        <f t="shared" si="42"/>
        <v>1704.47</v>
      </c>
      <c r="J176" s="418">
        <f t="shared" si="43"/>
        <v>3408.94</v>
      </c>
      <c r="K176" s="419">
        <f t="shared" si="32"/>
        <v>681.79</v>
      </c>
      <c r="L176" s="420">
        <f t="shared" si="33"/>
        <v>4090.73</v>
      </c>
      <c r="M176" s="64"/>
      <c r="N176" s="77">
        <v>1853.5800000000002</v>
      </c>
      <c r="O176" s="18">
        <v>1325.04</v>
      </c>
      <c r="P176" s="22"/>
      <c r="Q176" s="22"/>
      <c r="R176" s="22"/>
    </row>
    <row r="177" spans="1:18" s="20" customFormat="1" ht="38.25" hidden="1" x14ac:dyDescent="0.2">
      <c r="A177" s="411" t="s">
        <v>122</v>
      </c>
      <c r="B177" s="422" t="s">
        <v>422</v>
      </c>
      <c r="C177" s="422">
        <v>1</v>
      </c>
      <c r="D177" s="422">
        <v>2</v>
      </c>
      <c r="E177" s="422">
        <f t="shared" si="41"/>
        <v>2</v>
      </c>
      <c r="F177" s="422"/>
      <c r="G177" s="416">
        <v>501.73</v>
      </c>
      <c r="H177" s="417">
        <v>10.5305</v>
      </c>
      <c r="I177" s="416">
        <f t="shared" si="42"/>
        <v>5283.47</v>
      </c>
      <c r="J177" s="418">
        <f t="shared" si="43"/>
        <v>10566.94</v>
      </c>
      <c r="K177" s="419">
        <f t="shared" si="32"/>
        <v>2113.39</v>
      </c>
      <c r="L177" s="420">
        <f t="shared" si="33"/>
        <v>12680.33</v>
      </c>
      <c r="M177" s="64"/>
      <c r="N177" s="77">
        <v>5745.67</v>
      </c>
      <c r="O177" s="18">
        <v>9353.82</v>
      </c>
      <c r="P177" s="22"/>
      <c r="Q177" s="22"/>
      <c r="R177" s="22"/>
    </row>
    <row r="178" spans="1:18" s="20" customFormat="1" ht="51" hidden="1" x14ac:dyDescent="0.2">
      <c r="A178" s="411" t="s">
        <v>123</v>
      </c>
      <c r="B178" s="422" t="s">
        <v>422</v>
      </c>
      <c r="C178" s="422">
        <v>2</v>
      </c>
      <c r="D178" s="422">
        <v>6</v>
      </c>
      <c r="E178" s="422">
        <f t="shared" si="41"/>
        <v>12</v>
      </c>
      <c r="F178" s="422"/>
      <c r="G178" s="416">
        <v>135.63999999999999</v>
      </c>
      <c r="H178" s="417">
        <v>10.5305</v>
      </c>
      <c r="I178" s="416">
        <f t="shared" si="42"/>
        <v>1428.36</v>
      </c>
      <c r="J178" s="418">
        <f t="shared" si="43"/>
        <v>17140.32</v>
      </c>
      <c r="K178" s="419">
        <f t="shared" si="32"/>
        <v>3428.06</v>
      </c>
      <c r="L178" s="420">
        <f t="shared" si="33"/>
        <v>20568.38</v>
      </c>
      <c r="M178" s="73" t="s">
        <v>533</v>
      </c>
      <c r="N178" s="77">
        <v>9319.9</v>
      </c>
      <c r="O178" s="18">
        <v>9753.1200000000008</v>
      </c>
      <c r="P178" s="22"/>
      <c r="Q178" s="22"/>
      <c r="R178" s="22"/>
    </row>
    <row r="179" spans="1:18" s="20" customFormat="1" ht="38.25" hidden="1" x14ac:dyDescent="0.2">
      <c r="A179" s="411" t="s">
        <v>124</v>
      </c>
      <c r="B179" s="422" t="s">
        <v>429</v>
      </c>
      <c r="C179" s="422">
        <v>1415</v>
      </c>
      <c r="D179" s="422">
        <v>1</v>
      </c>
      <c r="E179" s="422">
        <f t="shared" si="41"/>
        <v>1415</v>
      </c>
      <c r="F179" s="422"/>
      <c r="G179" s="416">
        <v>7.1</v>
      </c>
      <c r="H179" s="417">
        <v>1.1898</v>
      </c>
      <c r="I179" s="416">
        <f t="shared" si="42"/>
        <v>8.4499999999999993</v>
      </c>
      <c r="J179" s="418">
        <f t="shared" si="43"/>
        <v>11956.75</v>
      </c>
      <c r="K179" s="419">
        <f t="shared" si="32"/>
        <v>2391.35</v>
      </c>
      <c r="L179" s="420">
        <f t="shared" si="33"/>
        <v>14348.1</v>
      </c>
      <c r="M179" s="136">
        <v>92813.099999999977</v>
      </c>
      <c r="N179" s="77">
        <v>4216.3899999999994</v>
      </c>
      <c r="O179" s="18">
        <v>28345.200000000001</v>
      </c>
      <c r="P179" s="22"/>
      <c r="Q179" s="22"/>
      <c r="R179" s="22"/>
    </row>
    <row r="180" spans="1:18" s="20" customFormat="1" ht="63.75" hidden="1" x14ac:dyDescent="0.2">
      <c r="A180" s="228" t="s">
        <v>14</v>
      </c>
      <c r="B180" s="229"/>
      <c r="C180" s="229"/>
      <c r="D180" s="229"/>
      <c r="E180" s="229"/>
      <c r="F180" s="422"/>
      <c r="G180" s="416"/>
      <c r="H180" s="422"/>
      <c r="I180" s="416"/>
      <c r="J180" s="418"/>
      <c r="K180" s="419"/>
      <c r="L180" s="420"/>
      <c r="M180" s="64"/>
      <c r="N180" s="77"/>
      <c r="O180" s="18"/>
      <c r="P180" s="22"/>
      <c r="Q180" s="22"/>
      <c r="R180" s="22"/>
    </row>
    <row r="181" spans="1:18" s="20" customFormat="1" ht="12.75" hidden="1" x14ac:dyDescent="0.2">
      <c r="A181" s="230" t="s">
        <v>441</v>
      </c>
      <c r="B181" s="422"/>
      <c r="C181" s="422"/>
      <c r="D181" s="422"/>
      <c r="E181" s="422"/>
      <c r="F181" s="422"/>
      <c r="G181" s="416"/>
      <c r="H181" s="422"/>
      <c r="I181" s="416"/>
      <c r="J181" s="418"/>
      <c r="K181" s="419"/>
      <c r="L181" s="420"/>
      <c r="M181" s="64"/>
      <c r="N181" s="77"/>
      <c r="O181" s="18"/>
      <c r="P181" s="22"/>
      <c r="Q181" s="22"/>
      <c r="R181" s="22"/>
    </row>
    <row r="182" spans="1:18" s="20" customFormat="1" ht="25.5" hidden="1" x14ac:dyDescent="0.2">
      <c r="A182" s="411" t="s">
        <v>116</v>
      </c>
      <c r="B182" s="422" t="s">
        <v>118</v>
      </c>
      <c r="C182" s="422">
        <v>1.26</v>
      </c>
      <c r="D182" s="422">
        <v>2</v>
      </c>
      <c r="E182" s="422">
        <f>D182*C182</f>
        <v>2.52</v>
      </c>
      <c r="F182" s="422"/>
      <c r="G182" s="416">
        <v>44.32</v>
      </c>
      <c r="H182" s="417">
        <v>2.0764999999999998</v>
      </c>
      <c r="I182" s="416">
        <f>ROUND(G182*H182,2)</f>
        <v>92.03</v>
      </c>
      <c r="J182" s="418">
        <f>ROUND(I182*E182,2)</f>
        <v>231.92</v>
      </c>
      <c r="K182" s="419">
        <f>ROUND(J182*0.2,2)</f>
        <v>46.38</v>
      </c>
      <c r="L182" s="420">
        <f>ROUND(K182+J182,2)</f>
        <v>278.3</v>
      </c>
      <c r="M182" s="64"/>
      <c r="N182" s="77">
        <v>178.99</v>
      </c>
      <c r="O182" s="18">
        <v>178.82</v>
      </c>
      <c r="P182" s="22"/>
      <c r="Q182" s="22"/>
      <c r="R182" s="22"/>
    </row>
    <row r="183" spans="1:18" s="20" customFormat="1" ht="25.5" hidden="1" x14ac:dyDescent="0.2">
      <c r="A183" s="411" t="s">
        <v>117</v>
      </c>
      <c r="B183" s="422" t="s">
        <v>432</v>
      </c>
      <c r="C183" s="422">
        <v>0.222</v>
      </c>
      <c r="D183" s="422">
        <v>3</v>
      </c>
      <c r="E183" s="422">
        <f>D183*C183</f>
        <v>0.66600000000000004</v>
      </c>
      <c r="F183" s="422"/>
      <c r="G183" s="416">
        <v>4728.2</v>
      </c>
      <c r="H183" s="417">
        <v>2.0764999999999998</v>
      </c>
      <c r="I183" s="416">
        <f>ROUND(G183*H183,2)</f>
        <v>9818.11</v>
      </c>
      <c r="J183" s="418">
        <f>ROUND(I183*E183,2)</f>
        <v>6538.86</v>
      </c>
      <c r="K183" s="419">
        <f>ROUND(J183*0.2,2)</f>
        <v>1307.77</v>
      </c>
      <c r="L183" s="420">
        <f>ROUND(K183+J183,2)</f>
        <v>7846.63</v>
      </c>
      <c r="M183" s="64"/>
      <c r="N183" s="77">
        <v>5046.96</v>
      </c>
      <c r="O183" s="18">
        <v>10084.07</v>
      </c>
      <c r="P183" s="22"/>
      <c r="Q183" s="22"/>
      <c r="R183" s="22"/>
    </row>
    <row r="184" spans="1:18" s="20" customFormat="1" ht="51" hidden="1" x14ac:dyDescent="0.2">
      <c r="A184" s="411" t="s">
        <v>493</v>
      </c>
      <c r="B184" s="425" t="s">
        <v>433</v>
      </c>
      <c r="C184" s="425">
        <v>126</v>
      </c>
      <c r="D184" s="425">
        <v>1</v>
      </c>
      <c r="E184" s="425">
        <f>D184*C184</f>
        <v>126</v>
      </c>
      <c r="F184" s="422"/>
      <c r="G184" s="416">
        <v>83.24</v>
      </c>
      <c r="H184" s="417">
        <v>2.0764999999999998</v>
      </c>
      <c r="I184" s="416">
        <f>ROUND(G184*H184,2)</f>
        <v>172.85</v>
      </c>
      <c r="J184" s="418">
        <f>ROUND(I184*E184,2)</f>
        <v>21779.1</v>
      </c>
      <c r="K184" s="419">
        <f>ROUND(J184*0.2,2)</f>
        <v>4355.82</v>
      </c>
      <c r="L184" s="420">
        <f>ROUND(K184+J184,2)</f>
        <v>26134.92</v>
      </c>
      <c r="M184" s="64"/>
      <c r="N184" s="77"/>
      <c r="O184" s="18"/>
      <c r="P184" s="22"/>
      <c r="Q184" s="22"/>
      <c r="R184" s="22"/>
    </row>
    <row r="185" spans="1:18" s="20" customFormat="1" ht="12.75" hidden="1" x14ac:dyDescent="0.2">
      <c r="A185" s="439" t="s">
        <v>471</v>
      </c>
      <c r="B185" s="425" t="s">
        <v>433</v>
      </c>
      <c r="C185" s="425">
        <f>C184</f>
        <v>126</v>
      </c>
      <c r="D185" s="425">
        <v>2</v>
      </c>
      <c r="E185" s="425">
        <f>D185*C185</f>
        <v>252</v>
      </c>
      <c r="F185" s="422"/>
      <c r="G185" s="416">
        <v>2.89</v>
      </c>
      <c r="H185" s="417">
        <v>2.0764999999999998</v>
      </c>
      <c r="I185" s="416">
        <f>ROUND(G185*H185,2)</f>
        <v>6</v>
      </c>
      <c r="J185" s="418">
        <f>ROUND(I185*E185,2)</f>
        <v>1512</v>
      </c>
      <c r="K185" s="419">
        <f>ROUND(J185*0.2,2)</f>
        <v>302.39999999999998</v>
      </c>
      <c r="L185" s="420">
        <f>ROUND(K185+J185,2)</f>
        <v>1814.4</v>
      </c>
      <c r="M185" s="73" t="s">
        <v>408</v>
      </c>
      <c r="N185" s="77"/>
      <c r="O185" s="18"/>
      <c r="P185" s="22"/>
      <c r="Q185" s="22"/>
      <c r="R185" s="22"/>
    </row>
    <row r="186" spans="1:18" s="20" customFormat="1" ht="12.75" hidden="1" x14ac:dyDescent="0.2">
      <c r="A186" s="228" t="s">
        <v>530</v>
      </c>
      <c r="B186" s="425"/>
      <c r="C186" s="425"/>
      <c r="D186" s="425"/>
      <c r="E186" s="425"/>
      <c r="F186" s="422"/>
      <c r="G186" s="416"/>
      <c r="H186" s="417"/>
      <c r="I186" s="416"/>
      <c r="J186" s="418"/>
      <c r="K186" s="419"/>
      <c r="L186" s="420"/>
      <c r="M186" s="144">
        <v>32020.59</v>
      </c>
      <c r="N186" s="77"/>
      <c r="O186" s="18"/>
      <c r="P186" s="22"/>
      <c r="Q186" s="22"/>
      <c r="R186" s="22"/>
    </row>
    <row r="187" spans="1:18" s="20" customFormat="1" ht="12.75" hidden="1" x14ac:dyDescent="0.2">
      <c r="A187" s="411" t="s">
        <v>119</v>
      </c>
      <c r="B187" s="425" t="s">
        <v>432</v>
      </c>
      <c r="C187" s="425">
        <v>0.222</v>
      </c>
      <c r="D187" s="425">
        <v>6</v>
      </c>
      <c r="E187" s="425">
        <f>D187*C187</f>
        <v>1.3320000000000001</v>
      </c>
      <c r="F187" s="422"/>
      <c r="G187" s="416">
        <v>7314.22</v>
      </c>
      <c r="H187" s="417">
        <v>2.0764999999999998</v>
      </c>
      <c r="I187" s="416">
        <f>ROUND(G187*H187,2)</f>
        <v>15187.98</v>
      </c>
      <c r="J187" s="418">
        <f>ROUND(I187*E187,2)</f>
        <v>20230.39</v>
      </c>
      <c r="K187" s="419">
        <f>ROUND(J187*0.2,2)</f>
        <v>4046.08</v>
      </c>
      <c r="L187" s="420">
        <f>ROUND(K187+J187,2)</f>
        <v>24276.47</v>
      </c>
      <c r="M187" s="73" t="s">
        <v>409</v>
      </c>
      <c r="N187" s="77"/>
      <c r="O187" s="18"/>
      <c r="P187" s="22"/>
      <c r="Q187" s="22"/>
      <c r="R187" s="22"/>
    </row>
    <row r="188" spans="1:18" s="20" customFormat="1" ht="51" hidden="1" x14ac:dyDescent="0.2">
      <c r="A188" s="411" t="s">
        <v>120</v>
      </c>
      <c r="B188" s="425" t="s">
        <v>433</v>
      </c>
      <c r="C188" s="425">
        <v>126</v>
      </c>
      <c r="D188" s="425">
        <v>6</v>
      </c>
      <c r="E188" s="425">
        <f>D188*C188</f>
        <v>756</v>
      </c>
      <c r="F188" s="422"/>
      <c r="G188" s="416">
        <v>1.99</v>
      </c>
      <c r="H188" s="417">
        <v>2.0764999999999998</v>
      </c>
      <c r="I188" s="416">
        <f>ROUND(G188*H188,2)</f>
        <v>4.13</v>
      </c>
      <c r="J188" s="418">
        <f>ROUND(I188*E188,2)</f>
        <v>3122.28</v>
      </c>
      <c r="K188" s="419">
        <f>ROUND(J188*0.2,2)</f>
        <v>624.46</v>
      </c>
      <c r="L188" s="420">
        <f>ROUND(K188+J188,2)</f>
        <v>3746.74</v>
      </c>
      <c r="M188" s="136">
        <v>16584.810000000001</v>
      </c>
      <c r="N188" s="77"/>
      <c r="O188" s="18"/>
      <c r="P188" s="22"/>
      <c r="Q188" s="22"/>
      <c r="R188" s="22"/>
    </row>
    <row r="189" spans="1:18" s="20" customFormat="1" ht="38.25" hidden="1" x14ac:dyDescent="0.2">
      <c r="A189" s="230" t="s">
        <v>442</v>
      </c>
      <c r="B189" s="422"/>
      <c r="C189" s="422"/>
      <c r="D189" s="422"/>
      <c r="E189" s="422"/>
      <c r="F189" s="422"/>
      <c r="G189" s="416"/>
      <c r="H189" s="417"/>
      <c r="I189" s="416"/>
      <c r="J189" s="418"/>
      <c r="K189" s="419"/>
      <c r="L189" s="420"/>
      <c r="M189" s="64"/>
      <c r="N189" s="77"/>
      <c r="O189" s="18"/>
      <c r="P189" s="22"/>
      <c r="Q189" s="22"/>
      <c r="R189" s="22"/>
    </row>
    <row r="190" spans="1:18" s="20" customFormat="1" ht="51" hidden="1" x14ac:dyDescent="0.2">
      <c r="A190" s="411" t="s">
        <v>144</v>
      </c>
      <c r="B190" s="422" t="s">
        <v>422</v>
      </c>
      <c r="C190" s="422">
        <v>3</v>
      </c>
      <c r="D190" s="422">
        <v>2</v>
      </c>
      <c r="E190" s="422">
        <f t="shared" ref="E190:E196" si="44">D190*C190</f>
        <v>6</v>
      </c>
      <c r="F190" s="422"/>
      <c r="G190" s="416">
        <v>964.56</v>
      </c>
      <c r="H190" s="417">
        <v>2.0764999999999998</v>
      </c>
      <c r="I190" s="416">
        <f t="shared" ref="I190:I196" si="45">ROUND(G190*H190,2)</f>
        <v>2002.91</v>
      </c>
      <c r="J190" s="418">
        <f t="shared" ref="J190:J196" si="46">ROUND(I190*E190,2)</f>
        <v>12017.46</v>
      </c>
      <c r="K190" s="419">
        <f t="shared" ref="K190:K196" si="47">ROUND(J190*0.2,2)</f>
        <v>2403.4899999999998</v>
      </c>
      <c r="L190" s="420">
        <f t="shared" ref="L190:L196" si="48">ROUND(K190+J190,2)</f>
        <v>14420.95</v>
      </c>
      <c r="M190" s="64"/>
      <c r="N190" s="77">
        <v>9155.9500000000007</v>
      </c>
      <c r="O190" s="18">
        <v>4573.5</v>
      </c>
      <c r="P190" s="22"/>
      <c r="Q190" s="22"/>
      <c r="R190" s="22"/>
    </row>
    <row r="191" spans="1:18" s="20" customFormat="1" ht="25.5" hidden="1" x14ac:dyDescent="0.2">
      <c r="A191" s="411" t="s">
        <v>121</v>
      </c>
      <c r="B191" s="422" t="s">
        <v>422</v>
      </c>
      <c r="C191" s="422">
        <v>2</v>
      </c>
      <c r="D191" s="422">
        <v>6</v>
      </c>
      <c r="E191" s="422">
        <f t="shared" si="44"/>
        <v>12</v>
      </c>
      <c r="F191" s="422"/>
      <c r="G191" s="416">
        <v>130.31</v>
      </c>
      <c r="H191" s="417">
        <v>10.5305</v>
      </c>
      <c r="I191" s="416">
        <f t="shared" si="45"/>
        <v>1372.23</v>
      </c>
      <c r="J191" s="418">
        <f t="shared" si="46"/>
        <v>16466.759999999998</v>
      </c>
      <c r="K191" s="419">
        <f t="shared" si="47"/>
        <v>3293.35</v>
      </c>
      <c r="L191" s="420">
        <f t="shared" si="48"/>
        <v>19760.11</v>
      </c>
      <c r="M191" s="64"/>
      <c r="N191" s="77">
        <v>8953.6299999999992</v>
      </c>
      <c r="O191" s="18">
        <v>26971.200000000001</v>
      </c>
      <c r="P191" s="22"/>
      <c r="Q191" s="22"/>
      <c r="R191" s="22"/>
    </row>
    <row r="192" spans="1:18" s="20" customFormat="1" ht="38.25" hidden="1" x14ac:dyDescent="0.2">
      <c r="A192" s="411" t="s">
        <v>423</v>
      </c>
      <c r="B192" s="422" t="s">
        <v>422</v>
      </c>
      <c r="C192" s="422">
        <v>2</v>
      </c>
      <c r="D192" s="422">
        <v>6</v>
      </c>
      <c r="E192" s="422">
        <f t="shared" si="44"/>
        <v>12</v>
      </c>
      <c r="F192" s="422"/>
      <c r="G192" s="416">
        <v>18.62</v>
      </c>
      <c r="H192" s="417">
        <v>10.5305</v>
      </c>
      <c r="I192" s="416">
        <f t="shared" si="45"/>
        <v>196.08</v>
      </c>
      <c r="J192" s="418">
        <f t="shared" si="46"/>
        <v>2352.96</v>
      </c>
      <c r="K192" s="419">
        <f t="shared" si="47"/>
        <v>470.59</v>
      </c>
      <c r="L192" s="420">
        <f t="shared" si="48"/>
        <v>2823.55</v>
      </c>
      <c r="M192" s="64"/>
      <c r="N192" s="77">
        <v>1279.3700000000001</v>
      </c>
      <c r="O192" s="18">
        <v>262.45999999999998</v>
      </c>
      <c r="P192" s="22"/>
      <c r="Q192" s="22"/>
      <c r="R192" s="22"/>
    </row>
    <row r="193" spans="1:18" s="20" customFormat="1" ht="51" hidden="1" x14ac:dyDescent="0.2">
      <c r="A193" s="411" t="s">
        <v>424</v>
      </c>
      <c r="B193" s="422" t="s">
        <v>422</v>
      </c>
      <c r="C193" s="422">
        <v>1</v>
      </c>
      <c r="D193" s="422">
        <v>2</v>
      </c>
      <c r="E193" s="422">
        <f t="shared" si="44"/>
        <v>2</v>
      </c>
      <c r="F193" s="422"/>
      <c r="G193" s="416">
        <v>161.86000000000001</v>
      </c>
      <c r="H193" s="417">
        <v>10.5305</v>
      </c>
      <c r="I193" s="416">
        <f t="shared" si="45"/>
        <v>1704.47</v>
      </c>
      <c r="J193" s="418">
        <f t="shared" si="46"/>
        <v>3408.94</v>
      </c>
      <c r="K193" s="419">
        <f t="shared" si="47"/>
        <v>681.79</v>
      </c>
      <c r="L193" s="420">
        <f t="shared" si="48"/>
        <v>4090.73</v>
      </c>
      <c r="M193" s="64"/>
      <c r="N193" s="77">
        <v>1853.5800000000002</v>
      </c>
      <c r="O193" s="18">
        <v>1325.04</v>
      </c>
      <c r="P193" s="22"/>
      <c r="Q193" s="22"/>
      <c r="R193" s="22"/>
    </row>
    <row r="194" spans="1:18" s="20" customFormat="1" ht="38.25" hidden="1" x14ac:dyDescent="0.2">
      <c r="A194" s="411" t="s">
        <v>122</v>
      </c>
      <c r="B194" s="422" t="s">
        <v>422</v>
      </c>
      <c r="C194" s="422">
        <v>1</v>
      </c>
      <c r="D194" s="422">
        <v>2</v>
      </c>
      <c r="E194" s="422">
        <f t="shared" si="44"/>
        <v>2</v>
      </c>
      <c r="F194" s="422"/>
      <c r="G194" s="416">
        <v>501.73</v>
      </c>
      <c r="H194" s="417">
        <v>10.5305</v>
      </c>
      <c r="I194" s="416">
        <f t="shared" si="45"/>
        <v>5283.47</v>
      </c>
      <c r="J194" s="418">
        <f t="shared" si="46"/>
        <v>10566.94</v>
      </c>
      <c r="K194" s="419">
        <f t="shared" si="47"/>
        <v>2113.39</v>
      </c>
      <c r="L194" s="420">
        <f t="shared" si="48"/>
        <v>12680.33</v>
      </c>
      <c r="M194" s="64"/>
      <c r="N194" s="77">
        <v>5745.67</v>
      </c>
      <c r="O194" s="18">
        <v>9353.82</v>
      </c>
      <c r="P194" s="22"/>
      <c r="Q194" s="22"/>
      <c r="R194" s="22"/>
    </row>
    <row r="195" spans="1:18" s="20" customFormat="1" ht="51" hidden="1" x14ac:dyDescent="0.2">
      <c r="A195" s="411" t="s">
        <v>123</v>
      </c>
      <c r="B195" s="422" t="s">
        <v>422</v>
      </c>
      <c r="C195" s="422">
        <v>2</v>
      </c>
      <c r="D195" s="422">
        <v>6</v>
      </c>
      <c r="E195" s="422">
        <f t="shared" si="44"/>
        <v>12</v>
      </c>
      <c r="F195" s="422"/>
      <c r="G195" s="416">
        <v>135.63999999999999</v>
      </c>
      <c r="H195" s="417">
        <v>10.5305</v>
      </c>
      <c r="I195" s="416">
        <f t="shared" si="45"/>
        <v>1428.36</v>
      </c>
      <c r="J195" s="418">
        <f t="shared" si="46"/>
        <v>17140.32</v>
      </c>
      <c r="K195" s="419">
        <f t="shared" si="47"/>
        <v>3428.06</v>
      </c>
      <c r="L195" s="420">
        <f t="shared" si="48"/>
        <v>20568.38</v>
      </c>
      <c r="M195" s="73" t="s">
        <v>533</v>
      </c>
      <c r="N195" s="77">
        <v>9319.9</v>
      </c>
      <c r="O195" s="18">
        <v>4876.5600000000004</v>
      </c>
      <c r="P195" s="22"/>
      <c r="Q195" s="22"/>
      <c r="R195" s="22"/>
    </row>
    <row r="196" spans="1:18" s="20" customFormat="1" ht="38.25" hidden="1" x14ac:dyDescent="0.2">
      <c r="A196" s="411" t="s">
        <v>124</v>
      </c>
      <c r="B196" s="422" t="s">
        <v>91</v>
      </c>
      <c r="C196" s="422">
        <v>1415</v>
      </c>
      <c r="D196" s="422">
        <v>1</v>
      </c>
      <c r="E196" s="422">
        <f t="shared" si="44"/>
        <v>1415</v>
      </c>
      <c r="F196" s="422"/>
      <c r="G196" s="416">
        <v>7.1</v>
      </c>
      <c r="H196" s="417">
        <v>1.1898</v>
      </c>
      <c r="I196" s="416">
        <f t="shared" si="45"/>
        <v>8.4499999999999993</v>
      </c>
      <c r="J196" s="418">
        <f t="shared" si="46"/>
        <v>11956.75</v>
      </c>
      <c r="K196" s="419">
        <f t="shared" si="47"/>
        <v>2391.35</v>
      </c>
      <c r="L196" s="420">
        <f t="shared" si="48"/>
        <v>14348.1</v>
      </c>
      <c r="M196" s="136">
        <v>92813.099999999977</v>
      </c>
      <c r="N196" s="77">
        <v>4216.3899999999994</v>
      </c>
      <c r="O196" s="18">
        <v>27241.89</v>
      </c>
      <c r="P196" s="22"/>
      <c r="Q196" s="22"/>
      <c r="R196" s="22"/>
    </row>
    <row r="197" spans="1:18" s="20" customFormat="1" ht="25.5" hidden="1" x14ac:dyDescent="0.2">
      <c r="A197" s="228" t="s">
        <v>401</v>
      </c>
      <c r="B197" s="442"/>
      <c r="C197" s="442"/>
      <c r="D197" s="442"/>
      <c r="E197" s="442"/>
      <c r="F197" s="442"/>
      <c r="G197" s="442"/>
      <c r="H197" s="442"/>
      <c r="I197" s="442"/>
      <c r="J197" s="443"/>
      <c r="K197" s="419"/>
      <c r="L197" s="420"/>
      <c r="M197" s="64"/>
      <c r="N197" s="77"/>
      <c r="O197" s="18"/>
      <c r="P197" s="22"/>
      <c r="Q197" s="22"/>
      <c r="R197" s="22"/>
    </row>
    <row r="198" spans="1:18" s="20" customFormat="1" ht="38.25" hidden="1" x14ac:dyDescent="0.2">
      <c r="A198" s="228" t="s">
        <v>15</v>
      </c>
      <c r="B198" s="442"/>
      <c r="C198" s="442"/>
      <c r="D198" s="442"/>
      <c r="E198" s="442"/>
      <c r="F198" s="442"/>
      <c r="G198" s="442"/>
      <c r="H198" s="442"/>
      <c r="I198" s="442"/>
      <c r="J198" s="442"/>
      <c r="K198" s="419"/>
      <c r="L198" s="420"/>
      <c r="M198" s="64"/>
      <c r="N198" s="77"/>
      <c r="O198" s="18"/>
      <c r="P198" s="22"/>
      <c r="Q198" s="22"/>
      <c r="R198" s="22"/>
    </row>
    <row r="199" spans="1:18" s="20" customFormat="1" ht="153" hidden="1" x14ac:dyDescent="0.2">
      <c r="A199" s="421" t="s">
        <v>405</v>
      </c>
      <c r="B199" s="423" t="s">
        <v>354</v>
      </c>
      <c r="C199" s="423">
        <v>0.17</v>
      </c>
      <c r="D199" s="422">
        <v>1</v>
      </c>
      <c r="E199" s="422">
        <f>D199*C199</f>
        <v>0.17</v>
      </c>
      <c r="F199" s="422"/>
      <c r="G199" s="416">
        <v>232.79166666666669</v>
      </c>
      <c r="H199" s="444">
        <v>13.439299999999999</v>
      </c>
      <c r="I199" s="426">
        <f>G199*H199</f>
        <v>3128.5570458333336</v>
      </c>
      <c r="J199" s="416">
        <f>ROUND(I199*E199,2)</f>
        <v>531.85</v>
      </c>
      <c r="K199" s="419">
        <f t="shared" ref="K199:K210" si="49">ROUND(J199*0.2,2)</f>
        <v>106.37</v>
      </c>
      <c r="L199" s="420">
        <f t="shared" ref="L199:L205" si="50">ROUND(K199+J199,2)</f>
        <v>638.22</v>
      </c>
      <c r="M199" s="64"/>
      <c r="N199" s="77">
        <v>588.85</v>
      </c>
      <c r="O199" s="65">
        <v>1031.82</v>
      </c>
      <c r="P199" s="22"/>
      <c r="Q199" s="22"/>
      <c r="R199" s="22"/>
    </row>
    <row r="200" spans="1:18" s="20" customFormat="1" ht="51" hidden="1" x14ac:dyDescent="0.2">
      <c r="A200" s="421" t="s">
        <v>356</v>
      </c>
      <c r="B200" s="445" t="s">
        <v>355</v>
      </c>
      <c r="C200" s="445">
        <v>1.1050000000000001E-2</v>
      </c>
      <c r="D200" s="422">
        <v>1</v>
      </c>
      <c r="E200" s="422">
        <f t="shared" ref="E200:E209" si="51">D200*C200</f>
        <v>1.1050000000000001E-2</v>
      </c>
      <c r="F200" s="422"/>
      <c r="G200" s="416">
        <v>16413.416666666668</v>
      </c>
      <c r="H200" s="444">
        <v>13.439299999999999</v>
      </c>
      <c r="I200" s="426">
        <f>G200*H200</f>
        <v>220584.83060833334</v>
      </c>
      <c r="J200" s="416">
        <f>ROUND(I200*E200,2)</f>
        <v>2437.46</v>
      </c>
      <c r="K200" s="419">
        <f t="shared" si="49"/>
        <v>487.49</v>
      </c>
      <c r="L200" s="420">
        <f t="shared" si="50"/>
        <v>2924.95</v>
      </c>
      <c r="M200" s="64"/>
      <c r="N200" s="77">
        <v>2698.6899999999996</v>
      </c>
      <c r="O200" s="65">
        <v>4728.75</v>
      </c>
      <c r="P200" s="26">
        <v>0.65</v>
      </c>
      <c r="Q200" s="26"/>
      <c r="R200" s="26"/>
    </row>
    <row r="201" spans="1:18" s="20" customFormat="1" ht="51" hidden="1" x14ac:dyDescent="0.2">
      <c r="A201" s="421" t="s">
        <v>357</v>
      </c>
      <c r="B201" s="423" t="s">
        <v>355</v>
      </c>
      <c r="C201" s="446">
        <v>4.2500000000000003E-3</v>
      </c>
      <c r="D201" s="422">
        <v>1</v>
      </c>
      <c r="E201" s="422">
        <f t="shared" si="51"/>
        <v>4.2500000000000003E-3</v>
      </c>
      <c r="F201" s="422"/>
      <c r="G201" s="416">
        <v>364.85</v>
      </c>
      <c r="H201" s="444">
        <v>13.439299999999999</v>
      </c>
      <c r="I201" s="426">
        <f t="shared" ref="I201:I223" si="52">G201*H201</f>
        <v>4903.3286049999997</v>
      </c>
      <c r="J201" s="416">
        <f t="shared" ref="J201:J223" si="53">ROUND(I201*E201,2)</f>
        <v>20.84</v>
      </c>
      <c r="K201" s="419">
        <f t="shared" si="49"/>
        <v>4.17</v>
      </c>
      <c r="L201" s="420">
        <f t="shared" si="50"/>
        <v>25.01</v>
      </c>
      <c r="M201" s="64"/>
      <c r="N201" s="77">
        <v>23.080000000000002</v>
      </c>
      <c r="O201" s="65">
        <v>40.43</v>
      </c>
      <c r="P201" s="26"/>
      <c r="Q201" s="26"/>
      <c r="R201" s="26"/>
    </row>
    <row r="202" spans="1:18" s="20" customFormat="1" ht="191.25" hidden="1" x14ac:dyDescent="0.2">
      <c r="A202" s="421" t="s">
        <v>345</v>
      </c>
      <c r="B202" s="423" t="s">
        <v>354</v>
      </c>
      <c r="C202" s="423">
        <v>0.93700000000000006</v>
      </c>
      <c r="D202" s="422">
        <v>1</v>
      </c>
      <c r="E202" s="422">
        <f>D202*C202</f>
        <v>0.93700000000000006</v>
      </c>
      <c r="F202" s="422"/>
      <c r="G202" s="416">
        <v>232.79166666666669</v>
      </c>
      <c r="H202" s="444">
        <v>13.439299999999999</v>
      </c>
      <c r="I202" s="426">
        <f t="shared" si="52"/>
        <v>3128.5570458333336</v>
      </c>
      <c r="J202" s="416">
        <f t="shared" si="53"/>
        <v>2931.46</v>
      </c>
      <c r="K202" s="419">
        <f t="shared" si="49"/>
        <v>586.29</v>
      </c>
      <c r="L202" s="420">
        <f t="shared" si="50"/>
        <v>3517.75</v>
      </c>
      <c r="M202" s="64"/>
      <c r="N202" s="77">
        <v>3245.63</v>
      </c>
      <c r="O202" s="65">
        <v>5687.12</v>
      </c>
      <c r="P202" s="26"/>
      <c r="Q202" s="26"/>
      <c r="R202" s="26"/>
    </row>
    <row r="203" spans="1:18" s="20" customFormat="1" ht="51" hidden="1" x14ac:dyDescent="0.2">
      <c r="A203" s="421" t="s">
        <v>356</v>
      </c>
      <c r="B203" s="445" t="s">
        <v>355</v>
      </c>
      <c r="C203" s="447">
        <v>1.52263E-2</v>
      </c>
      <c r="D203" s="422">
        <v>1</v>
      </c>
      <c r="E203" s="422">
        <f>D203*C203</f>
        <v>1.52263E-2</v>
      </c>
      <c r="F203" s="422"/>
      <c r="G203" s="416">
        <v>16413.416666666668</v>
      </c>
      <c r="H203" s="444">
        <v>13.439299999999999</v>
      </c>
      <c r="I203" s="426">
        <f t="shared" si="52"/>
        <v>220584.83060833334</v>
      </c>
      <c r="J203" s="416">
        <f t="shared" si="53"/>
        <v>3358.69</v>
      </c>
      <c r="K203" s="419">
        <f t="shared" si="49"/>
        <v>671.74</v>
      </c>
      <c r="L203" s="420">
        <f t="shared" si="50"/>
        <v>4030.43</v>
      </c>
      <c r="M203" s="64"/>
      <c r="N203" s="77">
        <v>3718.66</v>
      </c>
      <c r="O203" s="65">
        <v>6515.94</v>
      </c>
      <c r="P203" s="26">
        <v>0.42</v>
      </c>
      <c r="Q203" s="26">
        <v>0.65</v>
      </c>
      <c r="R203" s="29">
        <f>O203/P203*Q203</f>
        <v>10084.192857142858</v>
      </c>
    </row>
    <row r="204" spans="1:18" s="20" customFormat="1" ht="51" hidden="1" x14ac:dyDescent="0.2">
      <c r="A204" s="421" t="s">
        <v>357</v>
      </c>
      <c r="B204" s="423" t="s">
        <v>355</v>
      </c>
      <c r="C204" s="446">
        <v>5.8560000000000001E-3</v>
      </c>
      <c r="D204" s="422">
        <v>1</v>
      </c>
      <c r="E204" s="422">
        <f t="shared" si="51"/>
        <v>5.8560000000000001E-3</v>
      </c>
      <c r="F204" s="422"/>
      <c r="G204" s="416">
        <v>364.85</v>
      </c>
      <c r="H204" s="444">
        <v>13.439299999999999</v>
      </c>
      <c r="I204" s="426">
        <f t="shared" si="52"/>
        <v>4903.3286049999997</v>
      </c>
      <c r="J204" s="416">
        <f t="shared" si="53"/>
        <v>28.71</v>
      </c>
      <c r="K204" s="419">
        <f t="shared" si="49"/>
        <v>5.74</v>
      </c>
      <c r="L204" s="420">
        <f t="shared" si="50"/>
        <v>34.450000000000003</v>
      </c>
      <c r="M204" s="64"/>
      <c r="N204" s="77">
        <v>31.79</v>
      </c>
      <c r="O204" s="65">
        <v>55.71</v>
      </c>
      <c r="P204" s="26"/>
      <c r="Q204" s="26"/>
      <c r="R204" s="26"/>
    </row>
    <row r="205" spans="1:18" s="20" customFormat="1" ht="191.25" hidden="1" x14ac:dyDescent="0.2">
      <c r="A205" s="421" t="s">
        <v>346</v>
      </c>
      <c r="B205" s="423" t="s">
        <v>354</v>
      </c>
      <c r="C205" s="423">
        <v>0.25</v>
      </c>
      <c r="D205" s="422">
        <v>1</v>
      </c>
      <c r="E205" s="422">
        <f t="shared" si="51"/>
        <v>0.25</v>
      </c>
      <c r="F205" s="422"/>
      <c r="G205" s="416">
        <v>232.79166666666669</v>
      </c>
      <c r="H205" s="444">
        <v>13.439299999999999</v>
      </c>
      <c r="I205" s="426">
        <f>G205*H205</f>
        <v>3128.5570458333336</v>
      </c>
      <c r="J205" s="416">
        <f t="shared" si="53"/>
        <v>782.14</v>
      </c>
      <c r="K205" s="419">
        <f t="shared" si="49"/>
        <v>156.43</v>
      </c>
      <c r="L205" s="420">
        <f t="shared" si="50"/>
        <v>938.57</v>
      </c>
      <c r="M205" s="64"/>
      <c r="N205" s="77">
        <v>865.97</v>
      </c>
      <c r="O205" s="65">
        <v>1517.38</v>
      </c>
      <c r="P205" s="30"/>
      <c r="Q205" s="26"/>
      <c r="R205" s="26"/>
    </row>
    <row r="206" spans="1:18" s="20" customFormat="1" ht="51" hidden="1" x14ac:dyDescent="0.2">
      <c r="A206" s="421" t="s">
        <v>344</v>
      </c>
      <c r="B206" s="445" t="s">
        <v>355</v>
      </c>
      <c r="C206" s="447">
        <v>1.21875E-2</v>
      </c>
      <c r="D206" s="422">
        <v>1</v>
      </c>
      <c r="E206" s="417">
        <f t="shared" si="51"/>
        <v>1.21875E-2</v>
      </c>
      <c r="F206" s="422"/>
      <c r="G206" s="416">
        <v>16413.416666666668</v>
      </c>
      <c r="H206" s="444">
        <v>13.439299999999999</v>
      </c>
      <c r="I206" s="426">
        <f t="shared" si="52"/>
        <v>220584.83060833334</v>
      </c>
      <c r="J206" s="416">
        <f t="shared" si="53"/>
        <v>2688.38</v>
      </c>
      <c r="K206" s="419">
        <f t="shared" si="49"/>
        <v>537.67999999999995</v>
      </c>
      <c r="L206" s="420">
        <f>ROUND(J206+K206,2)</f>
        <v>3226.06</v>
      </c>
      <c r="M206" s="64"/>
      <c r="N206" s="77">
        <v>2976.5</v>
      </c>
      <c r="O206" s="65">
        <v>5215.53</v>
      </c>
      <c r="P206" s="26">
        <v>0.42</v>
      </c>
      <c r="Q206" s="26">
        <v>0.65</v>
      </c>
      <c r="R206" s="29">
        <f>O206/P206*Q206</f>
        <v>8071.653571428571</v>
      </c>
    </row>
    <row r="207" spans="1:18" s="20" customFormat="1" ht="38.25" hidden="1" x14ac:dyDescent="0.2">
      <c r="A207" s="421" t="s">
        <v>359</v>
      </c>
      <c r="B207" s="423" t="s">
        <v>355</v>
      </c>
      <c r="C207" s="446">
        <v>4.6899999999999997E-3</v>
      </c>
      <c r="D207" s="422">
        <v>1</v>
      </c>
      <c r="E207" s="417">
        <f t="shared" si="51"/>
        <v>4.6899999999999997E-3</v>
      </c>
      <c r="F207" s="422"/>
      <c r="G207" s="416">
        <v>364.85</v>
      </c>
      <c r="H207" s="444">
        <v>13.439299999999999</v>
      </c>
      <c r="I207" s="426">
        <f t="shared" si="52"/>
        <v>4903.3286049999997</v>
      </c>
      <c r="J207" s="416">
        <f t="shared" si="53"/>
        <v>23</v>
      </c>
      <c r="K207" s="419">
        <f t="shared" si="49"/>
        <v>4.5999999999999996</v>
      </c>
      <c r="L207" s="420">
        <f>ROUND(J207+K207,2)</f>
        <v>27.6</v>
      </c>
      <c r="M207" s="64"/>
      <c r="N207" s="77">
        <v>25.46</v>
      </c>
      <c r="O207" s="65">
        <v>44.61</v>
      </c>
      <c r="P207" s="29"/>
      <c r="Q207" s="26"/>
      <c r="R207" s="26"/>
    </row>
    <row r="208" spans="1:18" s="20" customFormat="1" ht="178.5" hidden="1" x14ac:dyDescent="0.2">
      <c r="A208" s="421" t="s">
        <v>360</v>
      </c>
      <c r="B208" s="423" t="s">
        <v>354</v>
      </c>
      <c r="C208" s="423">
        <v>0.06</v>
      </c>
      <c r="D208" s="422">
        <v>1</v>
      </c>
      <c r="E208" s="422">
        <f t="shared" si="51"/>
        <v>0.06</v>
      </c>
      <c r="F208" s="422"/>
      <c r="G208" s="416">
        <v>232.79166666666669</v>
      </c>
      <c r="H208" s="444">
        <v>13.439299999999999</v>
      </c>
      <c r="I208" s="426">
        <f t="shared" si="52"/>
        <v>3128.5570458333336</v>
      </c>
      <c r="J208" s="416">
        <f t="shared" si="53"/>
        <v>187.71</v>
      </c>
      <c r="K208" s="419">
        <f t="shared" si="49"/>
        <v>37.54</v>
      </c>
      <c r="L208" s="420">
        <f t="shared" ref="L208:L223" si="54">ROUND(J208+K208,2)</f>
        <v>225.25</v>
      </c>
      <c r="M208" s="64"/>
      <c r="N208" s="77">
        <v>207.82999999999998</v>
      </c>
      <c r="O208" s="65">
        <v>364.17</v>
      </c>
      <c r="P208" s="26"/>
      <c r="Q208" s="26"/>
      <c r="R208" s="26"/>
    </row>
    <row r="209" spans="1:18" s="20" customFormat="1" ht="51" hidden="1" x14ac:dyDescent="0.2">
      <c r="A209" s="421" t="s">
        <v>356</v>
      </c>
      <c r="B209" s="445" t="s">
        <v>355</v>
      </c>
      <c r="C209" s="447">
        <v>1.9499999999999999E-3</v>
      </c>
      <c r="D209" s="422">
        <v>1</v>
      </c>
      <c r="E209" s="422">
        <f t="shared" si="51"/>
        <v>1.9499999999999999E-3</v>
      </c>
      <c r="F209" s="422"/>
      <c r="G209" s="416">
        <v>16413.416666666668</v>
      </c>
      <c r="H209" s="444">
        <v>13.439299999999999</v>
      </c>
      <c r="I209" s="426">
        <f t="shared" si="52"/>
        <v>220584.83060833334</v>
      </c>
      <c r="J209" s="416">
        <f t="shared" si="53"/>
        <v>430.14</v>
      </c>
      <c r="K209" s="419">
        <f t="shared" si="49"/>
        <v>86.03</v>
      </c>
      <c r="L209" s="420">
        <f t="shared" si="54"/>
        <v>516.16999999999996</v>
      </c>
      <c r="M209" s="64"/>
      <c r="N209" s="77">
        <v>476.24</v>
      </c>
      <c r="O209" s="65">
        <v>834.49</v>
      </c>
      <c r="P209" s="26">
        <v>0.42</v>
      </c>
      <c r="Q209" s="26">
        <v>0.65</v>
      </c>
      <c r="R209" s="29">
        <f>O209/P209*Q209</f>
        <v>1291.4726190476192</v>
      </c>
    </row>
    <row r="210" spans="1:18" s="20" customFormat="1" ht="51" hidden="1" x14ac:dyDescent="0.2">
      <c r="A210" s="421" t="s">
        <v>357</v>
      </c>
      <c r="B210" s="423" t="s">
        <v>355</v>
      </c>
      <c r="C210" s="444">
        <v>1.5E-3</v>
      </c>
      <c r="D210" s="422">
        <v>1</v>
      </c>
      <c r="E210" s="422">
        <f>D210*C210</f>
        <v>1.5E-3</v>
      </c>
      <c r="F210" s="422"/>
      <c r="G210" s="416">
        <v>364.85</v>
      </c>
      <c r="H210" s="444">
        <v>13.439299999999999</v>
      </c>
      <c r="I210" s="426">
        <f t="shared" si="52"/>
        <v>4903.3286049999997</v>
      </c>
      <c r="J210" s="416">
        <f t="shared" si="53"/>
        <v>7.35</v>
      </c>
      <c r="K210" s="419">
        <f t="shared" si="49"/>
        <v>1.47</v>
      </c>
      <c r="L210" s="420">
        <f t="shared" si="54"/>
        <v>8.82</v>
      </c>
      <c r="M210" s="64"/>
      <c r="N210" s="77">
        <v>8.15</v>
      </c>
      <c r="O210" s="65">
        <v>14.27</v>
      </c>
      <c r="P210" s="31"/>
      <c r="Q210" s="22"/>
      <c r="R210" s="32">
        <f>L197+L198+L199+L200+L201+L202+L203+L204+L205+L207+L210</f>
        <v>12145.800000000001</v>
      </c>
    </row>
    <row r="211" spans="1:18" s="20" customFormat="1" ht="89.25" hidden="1" x14ac:dyDescent="0.2">
      <c r="A211" s="219" t="s">
        <v>444</v>
      </c>
      <c r="B211" s="231"/>
      <c r="C211" s="231"/>
      <c r="D211" s="422"/>
      <c r="E211" s="448"/>
      <c r="F211" s="448"/>
      <c r="G211" s="416"/>
      <c r="H211" s="444"/>
      <c r="I211" s="426"/>
      <c r="J211" s="416"/>
      <c r="K211" s="419"/>
      <c r="L211" s="420"/>
      <c r="M211" s="64"/>
      <c r="N211" s="94"/>
      <c r="O211" s="84">
        <v>13025.11</v>
      </c>
      <c r="P211" s="22"/>
      <c r="Q211" s="34"/>
      <c r="R211" s="35"/>
    </row>
    <row r="212" spans="1:18" s="20" customFormat="1" ht="165.75" hidden="1" x14ac:dyDescent="0.2">
      <c r="A212" s="421" t="s">
        <v>361</v>
      </c>
      <c r="B212" s="423" t="s">
        <v>354</v>
      </c>
      <c r="C212" s="423">
        <v>0.193</v>
      </c>
      <c r="D212" s="422">
        <v>1</v>
      </c>
      <c r="E212" s="422">
        <f t="shared" ref="E212:E223" si="55">D212*C212</f>
        <v>0.193</v>
      </c>
      <c r="F212" s="422"/>
      <c r="G212" s="416">
        <v>232.79166666666669</v>
      </c>
      <c r="H212" s="444">
        <v>13.439299999999999</v>
      </c>
      <c r="I212" s="426">
        <f t="shared" si="52"/>
        <v>3128.5570458333336</v>
      </c>
      <c r="J212" s="416">
        <f t="shared" si="53"/>
        <v>603.80999999999995</v>
      </c>
      <c r="K212" s="419">
        <f t="shared" ref="K212:K223" si="56">ROUND(J212*0.2,2)</f>
        <v>120.76</v>
      </c>
      <c r="L212" s="420">
        <f t="shared" si="54"/>
        <v>724.57</v>
      </c>
      <c r="M212" s="64"/>
      <c r="N212" s="77">
        <v>668.52</v>
      </c>
      <c r="O212" s="42">
        <v>1171.4100000000001</v>
      </c>
      <c r="P212" s="51"/>
      <c r="Q212" s="51"/>
      <c r="R212" s="22"/>
    </row>
    <row r="213" spans="1:18" s="20" customFormat="1" ht="51" hidden="1" x14ac:dyDescent="0.2">
      <c r="A213" s="421" t="s">
        <v>356</v>
      </c>
      <c r="B213" s="445" t="s">
        <v>355</v>
      </c>
      <c r="C213" s="445">
        <f>C212*P213</f>
        <v>1.2545000000000001E-2</v>
      </c>
      <c r="D213" s="422">
        <v>1</v>
      </c>
      <c r="E213" s="417">
        <f t="shared" si="55"/>
        <v>1.2545000000000001E-2</v>
      </c>
      <c r="F213" s="422"/>
      <c r="G213" s="416">
        <v>16413.416666666668</v>
      </c>
      <c r="H213" s="444">
        <v>13.439299999999999</v>
      </c>
      <c r="I213" s="426">
        <f t="shared" si="52"/>
        <v>220584.83060833334</v>
      </c>
      <c r="J213" s="416">
        <f t="shared" si="53"/>
        <v>2767.24</v>
      </c>
      <c r="K213" s="419">
        <f t="shared" si="56"/>
        <v>553.45000000000005</v>
      </c>
      <c r="L213" s="420">
        <f t="shared" si="54"/>
        <v>3320.69</v>
      </c>
      <c r="M213" s="64"/>
      <c r="N213" s="77">
        <v>3063.8199999999997</v>
      </c>
      <c r="O213" s="42">
        <v>5368.52</v>
      </c>
      <c r="P213" s="52">
        <v>6.5000000000000002E-2</v>
      </c>
      <c r="Q213" s="52"/>
      <c r="R213" s="22"/>
    </row>
    <row r="214" spans="1:18" s="20" customFormat="1" ht="51" hidden="1" x14ac:dyDescent="0.2">
      <c r="A214" s="421" t="s">
        <v>357</v>
      </c>
      <c r="B214" s="423" t="s">
        <v>355</v>
      </c>
      <c r="C214" s="423">
        <f>C212*P214*Q214</f>
        <v>4.8250000000000003E-3</v>
      </c>
      <c r="D214" s="422">
        <v>1</v>
      </c>
      <c r="E214" s="417">
        <f t="shared" si="55"/>
        <v>4.8250000000000003E-3</v>
      </c>
      <c r="F214" s="422"/>
      <c r="G214" s="416">
        <v>364.85</v>
      </c>
      <c r="H214" s="444">
        <v>13.439299999999999</v>
      </c>
      <c r="I214" s="426">
        <f t="shared" si="52"/>
        <v>4903.3286049999997</v>
      </c>
      <c r="J214" s="416">
        <f t="shared" si="53"/>
        <v>23.66</v>
      </c>
      <c r="K214" s="419">
        <f t="shared" si="56"/>
        <v>4.7300000000000004</v>
      </c>
      <c r="L214" s="420">
        <f t="shared" si="54"/>
        <v>28.39</v>
      </c>
      <c r="M214" s="64"/>
      <c r="N214" s="77">
        <v>26.2</v>
      </c>
      <c r="O214" s="42">
        <v>45.9</v>
      </c>
      <c r="P214" s="36">
        <v>2.5000000000000001E-4</v>
      </c>
      <c r="Q214" s="52">
        <v>100</v>
      </c>
      <c r="R214" s="22"/>
    </row>
    <row r="215" spans="1:18" s="20" customFormat="1" ht="178.5" hidden="1" x14ac:dyDescent="0.2">
      <c r="A215" s="421" t="s">
        <v>362</v>
      </c>
      <c r="B215" s="423" t="s">
        <v>354</v>
      </c>
      <c r="C215" s="423">
        <v>0.7</v>
      </c>
      <c r="D215" s="422">
        <v>1</v>
      </c>
      <c r="E215" s="422">
        <f t="shared" si="55"/>
        <v>0.7</v>
      </c>
      <c r="F215" s="422"/>
      <c r="G215" s="416">
        <v>232.79166666666669</v>
      </c>
      <c r="H215" s="444">
        <v>13.439299999999999</v>
      </c>
      <c r="I215" s="426">
        <f t="shared" si="52"/>
        <v>3128.5570458333336</v>
      </c>
      <c r="J215" s="416">
        <f t="shared" si="53"/>
        <v>2189.9899999999998</v>
      </c>
      <c r="K215" s="419">
        <f t="shared" si="56"/>
        <v>438</v>
      </c>
      <c r="L215" s="420">
        <f t="shared" si="54"/>
        <v>2627.99</v>
      </c>
      <c r="M215" s="64"/>
      <c r="N215" s="77">
        <v>2424.6999999999998</v>
      </c>
      <c r="O215" s="42">
        <v>4248.6499999999996</v>
      </c>
      <c r="P215" s="52"/>
      <c r="Q215" s="52"/>
      <c r="R215" s="22"/>
    </row>
    <row r="216" spans="1:18" s="20" customFormat="1" ht="51" hidden="1" x14ac:dyDescent="0.2">
      <c r="A216" s="421" t="s">
        <v>356</v>
      </c>
      <c r="B216" s="445" t="s">
        <v>355</v>
      </c>
      <c r="C216" s="447">
        <v>3.4125000000000003E-2</v>
      </c>
      <c r="D216" s="422">
        <v>1</v>
      </c>
      <c r="E216" s="417">
        <f t="shared" si="55"/>
        <v>3.4125000000000003E-2</v>
      </c>
      <c r="F216" s="422"/>
      <c r="G216" s="416">
        <v>16413.416666666668</v>
      </c>
      <c r="H216" s="444">
        <v>13.439299999999999</v>
      </c>
      <c r="I216" s="426">
        <f t="shared" si="52"/>
        <v>220584.83060833334</v>
      </c>
      <c r="J216" s="416">
        <f t="shared" si="53"/>
        <v>7527.46</v>
      </c>
      <c r="K216" s="419">
        <f t="shared" si="56"/>
        <v>1505.49</v>
      </c>
      <c r="L216" s="420">
        <f t="shared" si="54"/>
        <v>9032.9500000000007</v>
      </c>
      <c r="M216" s="64"/>
      <c r="N216" s="77">
        <v>8334.2000000000007</v>
      </c>
      <c r="O216" s="42">
        <v>14603.49</v>
      </c>
      <c r="P216" s="26">
        <v>0.42</v>
      </c>
      <c r="Q216" s="26">
        <v>0.65</v>
      </c>
      <c r="R216" s="29">
        <f>O216/P216*Q216</f>
        <v>22600.639285714289</v>
      </c>
    </row>
    <row r="217" spans="1:18" s="20" customFormat="1" ht="38.25" hidden="1" x14ac:dyDescent="0.2">
      <c r="A217" s="421" t="s">
        <v>359</v>
      </c>
      <c r="B217" s="423" t="s">
        <v>355</v>
      </c>
      <c r="C217" s="423">
        <f>C215*P217*Q217</f>
        <v>1.3125E-2</v>
      </c>
      <c r="D217" s="422">
        <v>1</v>
      </c>
      <c r="E217" s="417">
        <f t="shared" si="55"/>
        <v>1.3125E-2</v>
      </c>
      <c r="F217" s="422"/>
      <c r="G217" s="416">
        <v>364.85</v>
      </c>
      <c r="H217" s="444">
        <v>13.439299999999999</v>
      </c>
      <c r="I217" s="426">
        <f t="shared" si="52"/>
        <v>4903.3286049999997</v>
      </c>
      <c r="J217" s="416">
        <f t="shared" si="53"/>
        <v>64.36</v>
      </c>
      <c r="K217" s="419">
        <f t="shared" si="56"/>
        <v>12.87</v>
      </c>
      <c r="L217" s="420">
        <f t="shared" si="54"/>
        <v>77.23</v>
      </c>
      <c r="M217" s="64">
        <f>100/1.2</f>
        <v>83.333333333333343</v>
      </c>
      <c r="N217" s="77">
        <v>71.260000000000005</v>
      </c>
      <c r="O217" s="42">
        <v>124.85</v>
      </c>
      <c r="P217" s="36">
        <v>2.5000000000000001E-4</v>
      </c>
      <c r="Q217" s="52">
        <v>75</v>
      </c>
      <c r="R217" s="22">
        <f>C217/0.25*0.65</f>
        <v>3.4125000000000003E-2</v>
      </c>
    </row>
    <row r="218" spans="1:18" s="20" customFormat="1" ht="76.5" hidden="1" x14ac:dyDescent="0.2">
      <c r="A218" s="421" t="s">
        <v>364</v>
      </c>
      <c r="B218" s="423" t="s">
        <v>354</v>
      </c>
      <c r="C218" s="423">
        <v>4.0099999999999997E-2</v>
      </c>
      <c r="D218" s="422">
        <v>1</v>
      </c>
      <c r="E218" s="422">
        <f t="shared" si="55"/>
        <v>4.0099999999999997E-2</v>
      </c>
      <c r="F218" s="422"/>
      <c r="G218" s="416">
        <v>397.01666666666671</v>
      </c>
      <c r="H218" s="444">
        <v>13.439299999999999</v>
      </c>
      <c r="I218" s="426">
        <f t="shared" si="52"/>
        <v>5335.6260883333334</v>
      </c>
      <c r="J218" s="416">
        <f t="shared" si="53"/>
        <v>213.96</v>
      </c>
      <c r="K218" s="419">
        <f t="shared" si="56"/>
        <v>42.79</v>
      </c>
      <c r="L218" s="420">
        <f t="shared" si="54"/>
        <v>256.75</v>
      </c>
      <c r="M218" s="64"/>
      <c r="N218" s="77">
        <v>236.89</v>
      </c>
      <c r="O218" s="42">
        <v>415.09</v>
      </c>
      <c r="P218" s="52"/>
      <c r="Q218" s="52"/>
      <c r="R218" s="22"/>
    </row>
    <row r="219" spans="1:18" s="20" customFormat="1" ht="38.25" hidden="1" x14ac:dyDescent="0.2">
      <c r="A219" s="421" t="s">
        <v>358</v>
      </c>
      <c r="B219" s="445" t="s">
        <v>355</v>
      </c>
      <c r="C219" s="449">
        <v>8.3409999999999998E-2</v>
      </c>
      <c r="D219" s="422">
        <v>1</v>
      </c>
      <c r="E219" s="417">
        <f t="shared" si="55"/>
        <v>8.3409999999999998E-2</v>
      </c>
      <c r="F219" s="422"/>
      <c r="G219" s="416">
        <v>16413.416666666668</v>
      </c>
      <c r="H219" s="444">
        <v>13.439299999999999</v>
      </c>
      <c r="I219" s="426">
        <f t="shared" si="52"/>
        <v>220584.83060833334</v>
      </c>
      <c r="J219" s="416">
        <f t="shared" si="53"/>
        <v>18398.98</v>
      </c>
      <c r="K219" s="419">
        <f t="shared" si="56"/>
        <v>3679.8</v>
      </c>
      <c r="L219" s="420">
        <f t="shared" si="54"/>
        <v>22078.78</v>
      </c>
      <c r="M219" s="64"/>
      <c r="N219" s="77">
        <v>20370.86</v>
      </c>
      <c r="O219" s="42">
        <v>35694.57</v>
      </c>
      <c r="P219" s="52">
        <v>0.33600000000000002</v>
      </c>
      <c r="Q219" s="52"/>
      <c r="R219" s="22">
        <f>C220/0.25*0.65</f>
        <v>8.3407999999999996E-2</v>
      </c>
    </row>
    <row r="220" spans="1:18" s="20" customFormat="1" ht="51" hidden="1" x14ac:dyDescent="0.2">
      <c r="A220" s="421" t="s">
        <v>357</v>
      </c>
      <c r="B220" s="423" t="s">
        <v>355</v>
      </c>
      <c r="C220" s="423">
        <f>C218*P220*Q220</f>
        <v>3.2079999999999997E-2</v>
      </c>
      <c r="D220" s="422">
        <v>1</v>
      </c>
      <c r="E220" s="417">
        <f t="shared" si="55"/>
        <v>3.2079999999999997E-2</v>
      </c>
      <c r="F220" s="422"/>
      <c r="G220" s="416">
        <v>364.85</v>
      </c>
      <c r="H220" s="444">
        <v>13.439299999999999</v>
      </c>
      <c r="I220" s="426">
        <f t="shared" si="52"/>
        <v>4903.3286049999997</v>
      </c>
      <c r="J220" s="416">
        <f t="shared" si="53"/>
        <v>157.30000000000001</v>
      </c>
      <c r="K220" s="419">
        <f t="shared" si="56"/>
        <v>31.46</v>
      </c>
      <c r="L220" s="420">
        <f t="shared" si="54"/>
        <v>188.76</v>
      </c>
      <c r="M220" s="64"/>
      <c r="N220" s="77">
        <v>174.16</v>
      </c>
      <c r="O220" s="42">
        <v>305.16000000000003</v>
      </c>
      <c r="P220" s="36">
        <v>2.5000000000000001E-4</v>
      </c>
      <c r="Q220" s="52">
        <v>3200</v>
      </c>
      <c r="R220" s="22"/>
    </row>
    <row r="221" spans="1:18" s="20" customFormat="1" ht="242.25" hidden="1" x14ac:dyDescent="0.2">
      <c r="A221" s="421" t="s">
        <v>366</v>
      </c>
      <c r="B221" s="422" t="s">
        <v>411</v>
      </c>
      <c r="C221" s="445">
        <v>1.0107999999999999</v>
      </c>
      <c r="D221" s="422">
        <v>1</v>
      </c>
      <c r="E221" s="422">
        <f t="shared" si="55"/>
        <v>1.0107999999999999</v>
      </c>
      <c r="F221" s="422"/>
      <c r="G221" s="416">
        <v>218.4</v>
      </c>
      <c r="H221" s="444">
        <v>13.439299999999999</v>
      </c>
      <c r="I221" s="426">
        <f t="shared" si="52"/>
        <v>2935.1431199999997</v>
      </c>
      <c r="J221" s="416">
        <f t="shared" si="53"/>
        <v>2966.84</v>
      </c>
      <c r="K221" s="419">
        <f t="shared" si="56"/>
        <v>593.37</v>
      </c>
      <c r="L221" s="420">
        <f t="shared" si="54"/>
        <v>3560.21</v>
      </c>
      <c r="M221" s="64"/>
      <c r="N221" s="77">
        <v>3284.8100000000004</v>
      </c>
      <c r="O221" s="42">
        <v>5755.76</v>
      </c>
      <c r="P221" s="52"/>
      <c r="Q221" s="52"/>
      <c r="R221" s="22"/>
    </row>
    <row r="222" spans="1:18" s="20" customFormat="1" ht="51" hidden="1" x14ac:dyDescent="0.2">
      <c r="A222" s="421" t="s">
        <v>356</v>
      </c>
      <c r="B222" s="445" t="s">
        <v>355</v>
      </c>
      <c r="C222" s="445">
        <f>R222</f>
        <v>6.5701999999999997E-2</v>
      </c>
      <c r="D222" s="422">
        <v>1</v>
      </c>
      <c r="E222" s="422">
        <f t="shared" si="55"/>
        <v>6.5701999999999997E-2</v>
      </c>
      <c r="F222" s="422"/>
      <c r="G222" s="416">
        <v>16413.416666666668</v>
      </c>
      <c r="H222" s="444">
        <v>13.439299999999999</v>
      </c>
      <c r="I222" s="426">
        <f t="shared" si="52"/>
        <v>220584.83060833334</v>
      </c>
      <c r="J222" s="416">
        <f t="shared" si="53"/>
        <v>14492.86</v>
      </c>
      <c r="K222" s="419">
        <f t="shared" si="56"/>
        <v>2898.57</v>
      </c>
      <c r="L222" s="420">
        <f t="shared" si="54"/>
        <v>17391.43</v>
      </c>
      <c r="M222" s="73" t="s">
        <v>532</v>
      </c>
      <c r="N222" s="77">
        <v>16046.12</v>
      </c>
      <c r="O222" s="42">
        <v>28116.59</v>
      </c>
      <c r="P222" s="52">
        <v>7.8E-2</v>
      </c>
      <c r="Q222" s="52"/>
      <c r="R222" s="22">
        <f>C223/0.25*0.65</f>
        <v>6.5701999999999997E-2</v>
      </c>
    </row>
    <row r="223" spans="1:18" s="20" customFormat="1" ht="51" hidden="1" x14ac:dyDescent="0.2">
      <c r="A223" s="421" t="s">
        <v>357</v>
      </c>
      <c r="B223" s="423" t="s">
        <v>355</v>
      </c>
      <c r="C223" s="423">
        <f>C221*P223*Q223</f>
        <v>2.5269999999999997E-2</v>
      </c>
      <c r="D223" s="422">
        <v>1</v>
      </c>
      <c r="E223" s="422">
        <f t="shared" si="55"/>
        <v>2.5269999999999997E-2</v>
      </c>
      <c r="F223" s="422"/>
      <c r="G223" s="416">
        <v>364.85</v>
      </c>
      <c r="H223" s="444">
        <v>13.439299999999999</v>
      </c>
      <c r="I223" s="426">
        <f t="shared" si="52"/>
        <v>4903.3286049999997</v>
      </c>
      <c r="J223" s="416">
        <f t="shared" si="53"/>
        <v>123.91</v>
      </c>
      <c r="K223" s="419">
        <f t="shared" si="56"/>
        <v>24.78</v>
      </c>
      <c r="L223" s="420">
        <f t="shared" si="54"/>
        <v>148.69</v>
      </c>
      <c r="M223" s="142">
        <v>72020.48000000001</v>
      </c>
      <c r="N223" s="77">
        <v>137.18</v>
      </c>
      <c r="O223" s="33">
        <v>240.38</v>
      </c>
      <c r="P223" s="36">
        <v>2.5000000000000001E-4</v>
      </c>
      <c r="Q223" s="52">
        <v>100</v>
      </c>
      <c r="R223" s="22"/>
    </row>
    <row r="224" spans="1:18" s="20" customFormat="1" ht="12.75" hidden="1" x14ac:dyDescent="0.2">
      <c r="A224" s="421"/>
      <c r="B224" s="423"/>
      <c r="C224" s="423"/>
      <c r="D224" s="422"/>
      <c r="E224" s="422"/>
      <c r="F224" s="422"/>
      <c r="G224" s="416"/>
      <c r="H224" s="444"/>
      <c r="I224" s="426"/>
      <c r="J224" s="416"/>
      <c r="K224" s="419"/>
      <c r="L224" s="420">
        <f>SUM(L12:L223)</f>
        <v>28356670.449999992</v>
      </c>
      <c r="M224" s="142">
        <f>L224/1.2</f>
        <v>23630558.708333328</v>
      </c>
      <c r="N224" s="77"/>
      <c r="O224" s="33"/>
      <c r="P224" s="81"/>
      <c r="Q224" s="82"/>
      <c r="R224" s="22"/>
    </row>
    <row r="225" spans="1:19" s="39" customFormat="1" ht="25.5" hidden="1" x14ac:dyDescent="0.2">
      <c r="A225" s="228" t="s">
        <v>450</v>
      </c>
      <c r="B225" s="229"/>
      <c r="C225" s="223"/>
      <c r="D225" s="232"/>
      <c r="E225" s="262"/>
      <c r="F225" s="486"/>
      <c r="G225" s="486"/>
      <c r="H225" s="486"/>
      <c r="I225" s="486"/>
      <c r="J225" s="260">
        <f>SUM(J12:J223)-0.05</f>
        <v>23630558.710000053</v>
      </c>
      <c r="K225" s="234">
        <f>ROUND(J225*0.2,2)</f>
        <v>4726111.74</v>
      </c>
      <c r="L225" s="78">
        <f>J225+K225</f>
        <v>28356670.450000055</v>
      </c>
      <c r="M225" s="116"/>
      <c r="N225" s="95">
        <v>6800847.6600000029</v>
      </c>
      <c r="O225" s="37">
        <v>15771155.019999987</v>
      </c>
      <c r="P225" s="38"/>
      <c r="Q225" s="38"/>
      <c r="R225" s="38"/>
    </row>
    <row r="226" spans="1:19" s="20" customFormat="1" ht="12.75" hidden="1" x14ac:dyDescent="0.2">
      <c r="A226" s="218" t="s">
        <v>406</v>
      </c>
      <c r="B226" s="450"/>
      <c r="C226" s="451"/>
      <c r="D226" s="451"/>
      <c r="E226" s="451"/>
      <c r="F226" s="451"/>
      <c r="G226" s="451"/>
      <c r="H226" s="452"/>
      <c r="I226" s="452"/>
      <c r="J226" s="437"/>
      <c r="K226" s="420"/>
      <c r="L226" s="453"/>
      <c r="M226" s="61"/>
      <c r="N226" s="72">
        <v>6800847.5760000031</v>
      </c>
      <c r="O226" s="18"/>
      <c r="P226" s="22"/>
      <c r="Q226" s="22"/>
      <c r="R226" s="22"/>
    </row>
    <row r="227" spans="1:19" s="20" customFormat="1" ht="25.5" hidden="1" x14ac:dyDescent="0.2">
      <c r="A227" s="219" t="s">
        <v>146</v>
      </c>
      <c r="B227" s="231"/>
      <c r="C227" s="438"/>
      <c r="D227" s="454"/>
      <c r="E227" s="455"/>
      <c r="F227" s="260"/>
      <c r="G227" s="260"/>
      <c r="H227" s="260"/>
      <c r="I227" s="260"/>
      <c r="J227" s="455"/>
      <c r="K227" s="456"/>
      <c r="L227" s="55"/>
      <c r="M227" s="55"/>
      <c r="N227" s="96"/>
      <c r="O227" s="18"/>
      <c r="P227" s="22" t="s">
        <v>318</v>
      </c>
      <c r="Q227" s="22" t="s">
        <v>319</v>
      </c>
      <c r="R227" s="22" t="s">
        <v>320</v>
      </c>
    </row>
    <row r="228" spans="1:19" s="20" customFormat="1" ht="38.25" hidden="1" x14ac:dyDescent="0.2">
      <c r="A228" s="224" t="s">
        <v>147</v>
      </c>
      <c r="B228" s="436"/>
      <c r="C228" s="223"/>
      <c r="D228" s="399"/>
      <c r="E228" s="260"/>
      <c r="F228" s="415"/>
      <c r="G228" s="415"/>
      <c r="H228" s="415"/>
      <c r="I228" s="415"/>
      <c r="J228" s="260"/>
      <c r="K228" s="78"/>
      <c r="L228" s="23"/>
      <c r="M228" s="23" t="s">
        <v>537</v>
      </c>
      <c r="N228" s="97"/>
      <c r="O228" s="18"/>
      <c r="P228" s="60" t="e">
        <f>#REF!+#REF!+#REF!+L232+L233+L234+#REF!+L236+L237+L238+L239+L242+L243+L244+L245+L246+#REF!+L247+L250+L251+L253+L254+L255+L256+L257+L258+#REF!+L260+L271+#REF!+#REF!+#REF!+L297+L298+#REF!+L314+L315+#REF!</f>
        <v>#REF!</v>
      </c>
      <c r="Q228" s="19" t="e">
        <f>#REF!+#REF!+#REF!+#REF!+#REF!+#REF!+#REF!+#REF!+#REF!+#REF!+#REF!+#REF!+#REF!+#REF!+#REF!+#REF!+#REF!+#REF!+#REF!+#REF!</f>
        <v>#REF!</v>
      </c>
      <c r="R228" s="19" t="e">
        <f>L305+L306+L307+L308+L309+L310+#REF!+#REF!+L311</f>
        <v>#REF!</v>
      </c>
    </row>
    <row r="229" spans="1:19" s="20" customFormat="1" ht="25.5" hidden="1" x14ac:dyDescent="0.2">
      <c r="A229" s="412" t="s">
        <v>457</v>
      </c>
      <c r="B229" s="413" t="s">
        <v>519</v>
      </c>
      <c r="C229" s="413">
        <v>100</v>
      </c>
      <c r="D229" s="413">
        <v>1</v>
      </c>
      <c r="E229" s="422">
        <f>D229*C229</f>
        <v>100</v>
      </c>
      <c r="F229" s="415"/>
      <c r="G229" s="416">
        <v>8.66</v>
      </c>
      <c r="H229" s="417">
        <v>2.0764999999999998</v>
      </c>
      <c r="I229" s="416">
        <f>ROUND(G229*H229,2)</f>
        <v>17.98</v>
      </c>
      <c r="J229" s="418">
        <f>ROUND(I229*E229,2)</f>
        <v>1798</v>
      </c>
      <c r="K229" s="419">
        <f>ROUND(J229*0.2,2)</f>
        <v>359.6</v>
      </c>
      <c r="L229" s="420">
        <f t="shared" ref="L229:L239" si="57">ROUND(J229+K229,2)</f>
        <v>2157.6</v>
      </c>
      <c r="M229" s="153">
        <f>M272+M300+M318+M373+N234</f>
        <v>6816694.5199999996</v>
      </c>
      <c r="N229" s="98"/>
      <c r="O229" s="18"/>
      <c r="P229" s="60" t="e">
        <f>P228*0.3/0.7</f>
        <v>#REF!</v>
      </c>
      <c r="Q229" s="22" t="e">
        <f>Q228*0.3/0.7</f>
        <v>#REF!</v>
      </c>
      <c r="R229" s="22" t="e">
        <f>R228*0.3/0.7</f>
        <v>#REF!</v>
      </c>
    </row>
    <row r="230" spans="1:19" s="20" customFormat="1" ht="51" hidden="1" x14ac:dyDescent="0.2">
      <c r="A230" s="412" t="s">
        <v>459</v>
      </c>
      <c r="B230" s="413" t="s">
        <v>3</v>
      </c>
      <c r="C230" s="413">
        <v>1</v>
      </c>
      <c r="D230" s="413">
        <v>1</v>
      </c>
      <c r="E230" s="422">
        <f>D230*C230</f>
        <v>1</v>
      </c>
      <c r="F230" s="415"/>
      <c r="G230" s="416">
        <v>55423.41</v>
      </c>
      <c r="H230" s="417">
        <v>2.0764999999999998</v>
      </c>
      <c r="I230" s="416">
        <f>ROUND(G230*H230,2)</f>
        <v>115086.71</v>
      </c>
      <c r="J230" s="418">
        <f>ROUND(I230*E230,2)</f>
        <v>115086.71</v>
      </c>
      <c r="K230" s="419">
        <f>ROUND(J230*0.2,2)</f>
        <v>23017.34</v>
      </c>
      <c r="L230" s="420">
        <f t="shared" si="57"/>
        <v>138104.04999999999</v>
      </c>
      <c r="M230" s="23" t="s">
        <v>536</v>
      </c>
      <c r="N230" s="98"/>
      <c r="O230" s="18"/>
      <c r="P230" s="60"/>
      <c r="Q230" s="22"/>
      <c r="R230" s="22"/>
    </row>
    <row r="231" spans="1:19" s="20" customFormat="1" ht="38.25" hidden="1" x14ac:dyDescent="0.2">
      <c r="A231" s="412" t="s">
        <v>461</v>
      </c>
      <c r="B231" s="413" t="s">
        <v>4</v>
      </c>
      <c r="C231" s="413">
        <v>1</v>
      </c>
      <c r="D231" s="413">
        <v>1</v>
      </c>
      <c r="E231" s="422">
        <f>D231*C231</f>
        <v>1</v>
      </c>
      <c r="F231" s="415"/>
      <c r="G231" s="416">
        <v>1959.47</v>
      </c>
      <c r="H231" s="417">
        <v>2.0764999999999998</v>
      </c>
      <c r="I231" s="416">
        <f>ROUND(G231*H231,2)</f>
        <v>4068.84</v>
      </c>
      <c r="J231" s="418">
        <f>ROUND(I231*E231,2)</f>
        <v>4068.84</v>
      </c>
      <c r="K231" s="419">
        <f>ROUND(J231*0.2,2)</f>
        <v>813.77</v>
      </c>
      <c r="L231" s="420">
        <f t="shared" si="57"/>
        <v>4882.6099999999997</v>
      </c>
      <c r="M231" s="152">
        <f>M294+M304+M321+O234</f>
        <v>10409245.120000001</v>
      </c>
      <c r="N231" s="98"/>
      <c r="O231" s="18"/>
      <c r="P231" s="60"/>
      <c r="Q231" s="22"/>
      <c r="R231" s="22"/>
    </row>
    <row r="232" spans="1:19" s="20" customFormat="1" ht="51" hidden="1" x14ac:dyDescent="0.2">
      <c r="A232" s="421" t="s">
        <v>76</v>
      </c>
      <c r="B232" s="422" t="s">
        <v>354</v>
      </c>
      <c r="C232" s="422">
        <v>65.691999999999993</v>
      </c>
      <c r="D232" s="422">
        <v>1</v>
      </c>
      <c r="E232" s="422">
        <f t="shared" ref="E232:E240" si="58">ROUND(C232*D232,2)</f>
        <v>65.69</v>
      </c>
      <c r="F232" s="422"/>
      <c r="G232" s="416">
        <v>343.08</v>
      </c>
      <c r="H232" s="417">
        <v>2.0764999999999998</v>
      </c>
      <c r="I232" s="416">
        <f t="shared" ref="I232:I240" si="59">ROUND(G232*H232,2)</f>
        <v>712.41</v>
      </c>
      <c r="J232" s="418">
        <f t="shared" ref="J232:J239" si="60">ROUND(I232*E232,2)</f>
        <v>46798.21</v>
      </c>
      <c r="K232" s="419">
        <f t="shared" ref="K232:K239" si="61">ROUND(J232*0.2,2)</f>
        <v>9359.64</v>
      </c>
      <c r="L232" s="420">
        <f t="shared" si="57"/>
        <v>56157.85</v>
      </c>
      <c r="M232" s="73" t="s">
        <v>533</v>
      </c>
      <c r="N232" s="98"/>
      <c r="O232" s="18"/>
      <c r="P232" s="60"/>
      <c r="Q232" s="22"/>
      <c r="R232" s="22"/>
    </row>
    <row r="233" spans="1:19" s="20" customFormat="1" ht="127.5" hidden="1" x14ac:dyDescent="0.2">
      <c r="A233" s="421" t="s">
        <v>195</v>
      </c>
      <c r="B233" s="422" t="s">
        <v>354</v>
      </c>
      <c r="C233" s="422">
        <v>158.62</v>
      </c>
      <c r="D233" s="422">
        <v>3</v>
      </c>
      <c r="E233" s="422">
        <f t="shared" si="58"/>
        <v>475.86</v>
      </c>
      <c r="F233" s="422"/>
      <c r="G233" s="416">
        <v>188.57</v>
      </c>
      <c r="H233" s="417">
        <v>2.0764999999999998</v>
      </c>
      <c r="I233" s="416">
        <f t="shared" si="59"/>
        <v>391.57</v>
      </c>
      <c r="J233" s="418">
        <f t="shared" si="60"/>
        <v>186332.5</v>
      </c>
      <c r="K233" s="419">
        <f t="shared" si="61"/>
        <v>37266.5</v>
      </c>
      <c r="L233" s="420">
        <f t="shared" si="57"/>
        <v>223599</v>
      </c>
      <c r="M233" s="144">
        <f>M311</f>
        <v>92813.099999999977</v>
      </c>
      <c r="N233" s="77"/>
      <c r="O233" s="18">
        <v>72169.66</v>
      </c>
      <c r="P233" s="19" t="e">
        <f>#REF!+#REF!</f>
        <v>#REF!</v>
      </c>
      <c r="Q233" s="22"/>
      <c r="R233" s="22"/>
      <c r="S233" s="40" t="e">
        <f>#REF!-#REF!</f>
        <v>#REF!</v>
      </c>
    </row>
    <row r="234" spans="1:19" s="20" customFormat="1" ht="89.25" hidden="1" x14ac:dyDescent="0.2">
      <c r="A234" s="421" t="s">
        <v>78</v>
      </c>
      <c r="B234" s="422" t="s">
        <v>354</v>
      </c>
      <c r="C234" s="422">
        <v>364.76</v>
      </c>
      <c r="D234" s="422">
        <v>3</v>
      </c>
      <c r="E234" s="422">
        <f t="shared" si="58"/>
        <v>1094.28</v>
      </c>
      <c r="F234" s="422"/>
      <c r="G234" s="416">
        <v>188.57</v>
      </c>
      <c r="H234" s="417">
        <v>2.0764999999999998</v>
      </c>
      <c r="I234" s="416">
        <f>ROUND(G234*H234,2)</f>
        <v>391.57</v>
      </c>
      <c r="J234" s="418">
        <f t="shared" si="60"/>
        <v>428487.22</v>
      </c>
      <c r="K234" s="419">
        <f t="shared" si="61"/>
        <v>85697.44</v>
      </c>
      <c r="L234" s="420">
        <f t="shared" si="57"/>
        <v>514184.66</v>
      </c>
      <c r="M234" s="64">
        <f>M229+M231</f>
        <v>17225939.640000001</v>
      </c>
      <c r="N234" s="77">
        <f>M233*0.4</f>
        <v>37125.239999999991</v>
      </c>
      <c r="O234" s="151">
        <f>M233-N234</f>
        <v>55687.859999999986</v>
      </c>
      <c r="P234" s="22">
        <f>9731901.7+2.86</f>
        <v>9731904.5599999987</v>
      </c>
      <c r="Q234" s="22"/>
      <c r="R234" s="22"/>
      <c r="S234" s="40" t="e">
        <f>P234+#REF!+#REF!</f>
        <v>#REF!</v>
      </c>
    </row>
    <row r="235" spans="1:19" s="20" customFormat="1" ht="76.5" hidden="1" x14ac:dyDescent="0.2">
      <c r="A235" s="421" t="s">
        <v>79</v>
      </c>
      <c r="B235" s="416" t="s">
        <v>425</v>
      </c>
      <c r="C235" s="416">
        <v>133.54</v>
      </c>
      <c r="D235" s="422">
        <v>1</v>
      </c>
      <c r="E235" s="416">
        <f t="shared" si="58"/>
        <v>133.54</v>
      </c>
      <c r="F235" s="422"/>
      <c r="G235" s="416">
        <v>188.57</v>
      </c>
      <c r="H235" s="417">
        <v>2.0764999999999998</v>
      </c>
      <c r="I235" s="416">
        <f>ROUND(G235*H235,2)</f>
        <v>391.57</v>
      </c>
      <c r="J235" s="418">
        <f>ROUND(I235*E235,2)</f>
        <v>52290.26</v>
      </c>
      <c r="K235" s="419">
        <f>ROUND(J235*0.2,2)</f>
        <v>10458.049999999999</v>
      </c>
      <c r="L235" s="420">
        <f t="shared" si="57"/>
        <v>62748.31</v>
      </c>
      <c r="M235" s="64"/>
      <c r="N235" s="77"/>
      <c r="O235" s="18">
        <v>220256.68</v>
      </c>
      <c r="P235" s="22"/>
      <c r="Q235" s="22"/>
      <c r="R235" s="22"/>
    </row>
    <row r="236" spans="1:19" s="20" customFormat="1" ht="63.75" hidden="1" x14ac:dyDescent="0.2">
      <c r="A236" s="411" t="s">
        <v>64</v>
      </c>
      <c r="B236" s="422" t="s">
        <v>411</v>
      </c>
      <c r="C236" s="422">
        <f>24.18+28.85+0.12</f>
        <v>53.15</v>
      </c>
      <c r="D236" s="422">
        <v>3</v>
      </c>
      <c r="E236" s="422">
        <f>ROUND(C236*D236,2)</f>
        <v>159.44999999999999</v>
      </c>
      <c r="F236" s="422"/>
      <c r="G236" s="416">
        <v>44.32</v>
      </c>
      <c r="H236" s="417">
        <v>2.0764999999999998</v>
      </c>
      <c r="I236" s="416">
        <f t="shared" si="59"/>
        <v>92.03</v>
      </c>
      <c r="J236" s="418">
        <f t="shared" si="60"/>
        <v>14674.18</v>
      </c>
      <c r="K236" s="419">
        <f t="shared" si="61"/>
        <v>2934.84</v>
      </c>
      <c r="L236" s="420">
        <f t="shared" si="57"/>
        <v>17609.02</v>
      </c>
      <c r="M236" s="64"/>
      <c r="N236" s="77"/>
      <c r="O236" s="18"/>
      <c r="P236" s="22"/>
      <c r="Q236" s="22"/>
      <c r="R236" s="22"/>
    </row>
    <row r="237" spans="1:19" s="20" customFormat="1" ht="25.5" hidden="1" x14ac:dyDescent="0.2">
      <c r="A237" s="421" t="s">
        <v>80</v>
      </c>
      <c r="B237" s="422" t="s">
        <v>411</v>
      </c>
      <c r="C237" s="422">
        <v>10.44</v>
      </c>
      <c r="D237" s="422">
        <v>3</v>
      </c>
      <c r="E237" s="422">
        <f t="shared" si="58"/>
        <v>31.32</v>
      </c>
      <c r="F237" s="422"/>
      <c r="G237" s="416">
        <v>66.5</v>
      </c>
      <c r="H237" s="417">
        <v>2.0764999999999998</v>
      </c>
      <c r="I237" s="416">
        <f t="shared" si="59"/>
        <v>138.09</v>
      </c>
      <c r="J237" s="418">
        <f t="shared" si="60"/>
        <v>4324.9799999999996</v>
      </c>
      <c r="K237" s="419">
        <f t="shared" si="61"/>
        <v>865</v>
      </c>
      <c r="L237" s="420">
        <f t="shared" si="57"/>
        <v>5189.9799999999996</v>
      </c>
      <c r="M237" s="64"/>
      <c r="N237" s="77">
        <v>3868.1899999999996</v>
      </c>
      <c r="O237" s="18">
        <v>1932.24</v>
      </c>
      <c r="P237" s="22"/>
      <c r="Q237" s="22"/>
      <c r="R237" s="22"/>
    </row>
    <row r="238" spans="1:19" s="20" customFormat="1" ht="76.5" hidden="1" x14ac:dyDescent="0.2">
      <c r="A238" s="421" t="s">
        <v>315</v>
      </c>
      <c r="B238" s="422" t="s">
        <v>422</v>
      </c>
      <c r="C238" s="422">
        <v>4</v>
      </c>
      <c r="D238" s="422">
        <v>3</v>
      </c>
      <c r="E238" s="422">
        <f t="shared" si="58"/>
        <v>12</v>
      </c>
      <c r="F238" s="422"/>
      <c r="G238" s="416">
        <v>218.45</v>
      </c>
      <c r="H238" s="417">
        <v>2.0764999999999998</v>
      </c>
      <c r="I238" s="416">
        <f t="shared" si="59"/>
        <v>453.61</v>
      </c>
      <c r="J238" s="418">
        <f t="shared" si="60"/>
        <v>5443.32</v>
      </c>
      <c r="K238" s="419">
        <f t="shared" si="61"/>
        <v>1088.6600000000001</v>
      </c>
      <c r="L238" s="420">
        <f t="shared" si="57"/>
        <v>6531.98</v>
      </c>
      <c r="M238" s="64"/>
      <c r="N238" s="77">
        <v>4450.45</v>
      </c>
      <c r="O238" s="18">
        <v>2222.88</v>
      </c>
      <c r="P238" s="22"/>
      <c r="Q238" s="22"/>
      <c r="R238" s="22"/>
    </row>
    <row r="239" spans="1:19" s="20" customFormat="1" ht="51" hidden="1" x14ac:dyDescent="0.2">
      <c r="A239" s="421" t="s">
        <v>314</v>
      </c>
      <c r="B239" s="422" t="s">
        <v>354</v>
      </c>
      <c r="C239" s="422">
        <v>261.69</v>
      </c>
      <c r="D239" s="422">
        <v>3</v>
      </c>
      <c r="E239" s="422">
        <f t="shared" si="58"/>
        <v>785.07</v>
      </c>
      <c r="F239" s="422"/>
      <c r="G239" s="416">
        <v>175.05</v>
      </c>
      <c r="H239" s="417">
        <v>2.0764999999999998</v>
      </c>
      <c r="I239" s="416">
        <f t="shared" si="59"/>
        <v>363.49</v>
      </c>
      <c r="J239" s="418">
        <f t="shared" si="60"/>
        <v>285365.09000000003</v>
      </c>
      <c r="K239" s="419">
        <f t="shared" si="61"/>
        <v>57073.02</v>
      </c>
      <c r="L239" s="420">
        <f t="shared" si="57"/>
        <v>342438.11</v>
      </c>
      <c r="M239" s="64"/>
      <c r="N239" s="77">
        <v>4201.34</v>
      </c>
      <c r="O239" s="18">
        <v>4197.24</v>
      </c>
      <c r="P239" s="22"/>
      <c r="Q239" s="22"/>
      <c r="R239" s="22"/>
    </row>
    <row r="240" spans="1:19" s="20" customFormat="1" ht="58.5" hidden="1" customHeight="1" x14ac:dyDescent="0.2">
      <c r="A240" s="411" t="s">
        <v>504</v>
      </c>
      <c r="B240" s="422" t="s">
        <v>355</v>
      </c>
      <c r="C240" s="422">
        <v>4</v>
      </c>
      <c r="D240" s="422">
        <v>3</v>
      </c>
      <c r="E240" s="422">
        <f t="shared" si="58"/>
        <v>12</v>
      </c>
      <c r="F240" s="416"/>
      <c r="G240" s="416">
        <v>4405.2299999999996</v>
      </c>
      <c r="H240" s="417">
        <v>1.0680000000000001</v>
      </c>
      <c r="I240" s="416">
        <f t="shared" si="59"/>
        <v>4704.79</v>
      </c>
      <c r="J240" s="418">
        <f>ROUND(I240*E240,2)</f>
        <v>56457.48</v>
      </c>
      <c r="K240" s="419">
        <f>ROUND(J240*0.2,2)</f>
        <v>11291.5</v>
      </c>
      <c r="L240" s="420">
        <f>ROUND(K240+J240,2)</f>
        <v>67748.98</v>
      </c>
      <c r="M240" s="64"/>
      <c r="N240" s="77">
        <v>202629.71</v>
      </c>
      <c r="O240" s="18">
        <v>101216.46</v>
      </c>
      <c r="P240" s="22"/>
      <c r="Q240" s="22"/>
      <c r="R240" s="22"/>
    </row>
    <row r="241" spans="1:18" s="20" customFormat="1" ht="25.5" hidden="1" x14ac:dyDescent="0.2">
      <c r="A241" s="224" t="s">
        <v>81</v>
      </c>
      <c r="B241" s="422"/>
      <c r="C241" s="422"/>
      <c r="D241" s="422"/>
      <c r="E241" s="422"/>
      <c r="F241" s="422"/>
      <c r="G241" s="422"/>
      <c r="H241" s="417"/>
      <c r="I241" s="422"/>
      <c r="J241" s="422"/>
      <c r="K241" s="457"/>
      <c r="L241" s="420"/>
      <c r="M241" s="64"/>
      <c r="N241" s="77"/>
      <c r="O241" s="18"/>
      <c r="P241" s="22"/>
      <c r="Q241" s="22"/>
      <c r="R241" s="22"/>
    </row>
    <row r="242" spans="1:18" s="20" customFormat="1" ht="114.75" hidden="1" x14ac:dyDescent="0.2">
      <c r="A242" s="421" t="s">
        <v>107</v>
      </c>
      <c r="B242" s="422" t="s">
        <v>411</v>
      </c>
      <c r="C242" s="422">
        <f>18.68*0.1</f>
        <v>1.8680000000000001</v>
      </c>
      <c r="D242" s="422">
        <v>1</v>
      </c>
      <c r="E242" s="422">
        <f t="shared" ref="E242:E248" si="62">ROUND(C242*D242,2)</f>
        <v>1.87</v>
      </c>
      <c r="F242" s="422"/>
      <c r="G242" s="416">
        <v>64649.39</v>
      </c>
      <c r="H242" s="417">
        <v>2.0764999999999998</v>
      </c>
      <c r="I242" s="416">
        <f t="shared" ref="I242:I248" si="63">ROUND(G242*H242,2)</f>
        <v>134244.46</v>
      </c>
      <c r="J242" s="418">
        <f t="shared" ref="J242:J247" si="64">ROUND(I242*E242,2)</f>
        <v>251037.14</v>
      </c>
      <c r="K242" s="419">
        <f t="shared" ref="K242:K248" si="65">ROUND(J242*0.2,2)</f>
        <v>50207.43</v>
      </c>
      <c r="L242" s="420">
        <f t="shared" ref="L242:L248" si="66">ROUND(J242+K242,2)</f>
        <v>301244.57</v>
      </c>
      <c r="M242" s="64">
        <f>L242+L243+L244</f>
        <v>720399.12000000011</v>
      </c>
      <c r="N242" s="77"/>
      <c r="O242" s="18"/>
      <c r="P242" s="22"/>
      <c r="Q242" s="22"/>
      <c r="R242" s="22"/>
    </row>
    <row r="243" spans="1:18" s="20" customFormat="1" ht="127.5" hidden="1" x14ac:dyDescent="0.2">
      <c r="A243" s="421" t="s">
        <v>108</v>
      </c>
      <c r="B243" s="422" t="s">
        <v>411</v>
      </c>
      <c r="C243" s="422">
        <f>13.98*0.1</f>
        <v>1.3980000000000001</v>
      </c>
      <c r="D243" s="422">
        <v>1</v>
      </c>
      <c r="E243" s="422">
        <f>ROUND(C243*D243,2)</f>
        <v>1.4</v>
      </c>
      <c r="F243" s="422"/>
      <c r="G243" s="416">
        <v>77125.899999999994</v>
      </c>
      <c r="H243" s="417">
        <v>2.0764999999999998</v>
      </c>
      <c r="I243" s="416">
        <f t="shared" si="63"/>
        <v>160151.93</v>
      </c>
      <c r="J243" s="418">
        <f t="shared" si="64"/>
        <v>224212.7</v>
      </c>
      <c r="K243" s="419">
        <f t="shared" si="65"/>
        <v>44842.54</v>
      </c>
      <c r="L243" s="420">
        <f t="shared" si="66"/>
        <v>269055.24</v>
      </c>
      <c r="M243" s="64"/>
      <c r="N243" s="77">
        <v>967748.15</v>
      </c>
      <c r="O243" s="79">
        <v>1933606.03</v>
      </c>
      <c r="P243" s="63">
        <f>1867249*0.0005/100</f>
        <v>9.3362449999999999</v>
      </c>
      <c r="Q243" s="22" t="s">
        <v>321</v>
      </c>
      <c r="R243" s="22"/>
    </row>
    <row r="244" spans="1:18" s="20" customFormat="1" ht="38.25" hidden="1" x14ac:dyDescent="0.2">
      <c r="A244" s="421" t="s">
        <v>103</v>
      </c>
      <c r="B244" s="422" t="s">
        <v>437</v>
      </c>
      <c r="C244" s="422">
        <f>1908*0.1</f>
        <v>190.8</v>
      </c>
      <c r="D244" s="422">
        <v>1</v>
      </c>
      <c r="E244" s="422">
        <f t="shared" si="62"/>
        <v>190.8</v>
      </c>
      <c r="F244" s="422"/>
      <c r="G244" s="416">
        <v>315.70999999999998</v>
      </c>
      <c r="H244" s="417">
        <v>2.0764999999999998</v>
      </c>
      <c r="I244" s="416">
        <f t="shared" si="63"/>
        <v>655.57</v>
      </c>
      <c r="J244" s="418">
        <f t="shared" si="64"/>
        <v>125082.76</v>
      </c>
      <c r="K244" s="419">
        <f t="shared" si="65"/>
        <v>25016.55</v>
      </c>
      <c r="L244" s="420">
        <f t="shared" si="66"/>
        <v>150099.31</v>
      </c>
      <c r="M244" s="64"/>
      <c r="N244" s="77">
        <v>864029.34</v>
      </c>
      <c r="O244" s="18">
        <v>1726371.05</v>
      </c>
      <c r="P244" s="22">
        <f>P243/2</f>
        <v>4.6681225</v>
      </c>
      <c r="Q244" s="22"/>
      <c r="R244" s="22"/>
    </row>
    <row r="245" spans="1:18" s="20" customFormat="1" ht="38.25" hidden="1" x14ac:dyDescent="0.2">
      <c r="A245" s="421" t="s">
        <v>82</v>
      </c>
      <c r="B245" s="422" t="s">
        <v>438</v>
      </c>
      <c r="C245" s="422">
        <f>3145*0.5</f>
        <v>1572.5</v>
      </c>
      <c r="D245" s="422">
        <v>1</v>
      </c>
      <c r="E245" s="422">
        <f t="shared" si="62"/>
        <v>1572.5</v>
      </c>
      <c r="F245" s="422"/>
      <c r="G245" s="416">
        <v>35.799999999999997</v>
      </c>
      <c r="H245" s="417">
        <v>2.0764999999999998</v>
      </c>
      <c r="I245" s="416">
        <f t="shared" si="63"/>
        <v>74.34</v>
      </c>
      <c r="J245" s="418">
        <f t="shared" si="64"/>
        <v>116899.65</v>
      </c>
      <c r="K245" s="419">
        <f t="shared" si="65"/>
        <v>23379.93</v>
      </c>
      <c r="L245" s="420">
        <f t="shared" si="66"/>
        <v>140279.57999999999</v>
      </c>
      <c r="M245" s="64"/>
      <c r="N245" s="77">
        <v>482716.37</v>
      </c>
      <c r="O245" s="79">
        <v>964474.92</v>
      </c>
      <c r="P245" s="22"/>
      <c r="Q245" s="22"/>
      <c r="R245" s="22"/>
    </row>
    <row r="246" spans="1:18" s="20" customFormat="1" ht="76.5" hidden="1" x14ac:dyDescent="0.2">
      <c r="A246" s="421" t="s">
        <v>110</v>
      </c>
      <c r="B246" s="422" t="s">
        <v>439</v>
      </c>
      <c r="C246" s="422">
        <v>400.62</v>
      </c>
      <c r="D246" s="422">
        <v>4</v>
      </c>
      <c r="E246" s="422">
        <f t="shared" si="62"/>
        <v>1602.48</v>
      </c>
      <c r="F246" s="422"/>
      <c r="G246" s="416">
        <v>283.41000000000003</v>
      </c>
      <c r="H246" s="417">
        <v>2.0764999999999998</v>
      </c>
      <c r="I246" s="416">
        <f t="shared" si="63"/>
        <v>588.5</v>
      </c>
      <c r="J246" s="418">
        <f t="shared" si="64"/>
        <v>943059.48</v>
      </c>
      <c r="K246" s="419">
        <f t="shared" si="65"/>
        <v>188611.9</v>
      </c>
      <c r="L246" s="420">
        <f t="shared" si="66"/>
        <v>1131671.3799999999</v>
      </c>
      <c r="M246" s="64"/>
      <c r="N246" s="77">
        <v>180472.68</v>
      </c>
      <c r="O246" s="18">
        <v>180293.42</v>
      </c>
      <c r="P246" s="22"/>
      <c r="Q246" s="22"/>
      <c r="R246" s="22"/>
    </row>
    <row r="247" spans="1:18" s="20" customFormat="1" ht="89.25" hidden="1" x14ac:dyDescent="0.2">
      <c r="A247" s="421" t="s">
        <v>109</v>
      </c>
      <c r="B247" s="422" t="s">
        <v>439</v>
      </c>
      <c r="C247" s="422">
        <f>2.53</f>
        <v>2.5299999999999998</v>
      </c>
      <c r="D247" s="422">
        <v>1</v>
      </c>
      <c r="E247" s="422">
        <f t="shared" si="62"/>
        <v>2.5299999999999998</v>
      </c>
      <c r="F247" s="422"/>
      <c r="G247" s="416">
        <v>11575.11</v>
      </c>
      <c r="H247" s="417">
        <v>2.0764999999999998</v>
      </c>
      <c r="I247" s="416">
        <f t="shared" si="63"/>
        <v>24035.72</v>
      </c>
      <c r="J247" s="418">
        <f t="shared" si="64"/>
        <v>60810.37</v>
      </c>
      <c r="K247" s="419">
        <f t="shared" si="65"/>
        <v>12162.07</v>
      </c>
      <c r="L247" s="420">
        <f t="shared" si="66"/>
        <v>72972.44</v>
      </c>
      <c r="M247" s="64"/>
      <c r="N247" s="77">
        <v>1091856.1599999999</v>
      </c>
      <c r="O247" s="18">
        <v>727189.4</v>
      </c>
      <c r="P247" s="22"/>
      <c r="Q247" s="22"/>
      <c r="R247" s="22"/>
    </row>
    <row r="248" spans="1:18" s="20" customFormat="1" ht="38.25" hidden="1" x14ac:dyDescent="0.2">
      <c r="A248" s="458" t="s">
        <v>464</v>
      </c>
      <c r="B248" s="416" t="s">
        <v>118</v>
      </c>
      <c r="C248" s="422">
        <v>1</v>
      </c>
      <c r="D248" s="422">
        <v>1</v>
      </c>
      <c r="E248" s="422">
        <f t="shared" si="62"/>
        <v>1</v>
      </c>
      <c r="F248" s="416"/>
      <c r="G248" s="416">
        <v>38457.4</v>
      </c>
      <c r="H248" s="417">
        <v>2.0764999999999998</v>
      </c>
      <c r="I248" s="416">
        <f t="shared" si="63"/>
        <v>79856.789999999994</v>
      </c>
      <c r="J248" s="418">
        <f>ROUND(I248*E248,2)</f>
        <v>79856.789999999994</v>
      </c>
      <c r="K248" s="419">
        <f t="shared" si="65"/>
        <v>15971.36</v>
      </c>
      <c r="L248" s="420">
        <f t="shared" si="66"/>
        <v>95828.15</v>
      </c>
      <c r="M248" s="64"/>
      <c r="N248" s="77">
        <v>46935.01</v>
      </c>
      <c r="O248" s="18">
        <v>93778.35</v>
      </c>
      <c r="P248" s="22"/>
      <c r="Q248" s="22"/>
      <c r="R248" s="22"/>
    </row>
    <row r="249" spans="1:18" s="20" customFormat="1" ht="38.25" hidden="1" x14ac:dyDescent="0.2">
      <c r="A249" s="224" t="s">
        <v>83</v>
      </c>
      <c r="B249" s="422"/>
      <c r="C249" s="422"/>
      <c r="D249" s="422"/>
      <c r="E249" s="422"/>
      <c r="F249" s="422"/>
      <c r="G249" s="416"/>
      <c r="H249" s="417"/>
      <c r="I249" s="416"/>
      <c r="J249" s="418"/>
      <c r="K249" s="419"/>
      <c r="L249" s="420"/>
      <c r="M249" s="64"/>
      <c r="N249" s="77"/>
      <c r="O249" s="18"/>
      <c r="P249" s="22"/>
      <c r="Q249" s="22"/>
      <c r="R249" s="22"/>
    </row>
    <row r="250" spans="1:18" s="20" customFormat="1" ht="25.5" hidden="1" x14ac:dyDescent="0.2">
      <c r="A250" s="421" t="s">
        <v>84</v>
      </c>
      <c r="B250" s="422" t="s">
        <v>433</v>
      </c>
      <c r="C250" s="422">
        <f>1044</f>
        <v>1044</v>
      </c>
      <c r="D250" s="422">
        <v>1</v>
      </c>
      <c r="E250" s="422">
        <f>ROUND(C250*D250,2)</f>
        <v>1044</v>
      </c>
      <c r="F250" s="422"/>
      <c r="G250" s="416">
        <v>77.2</v>
      </c>
      <c r="H250" s="417">
        <v>2.0764999999999998</v>
      </c>
      <c r="I250" s="416">
        <f>ROUND(G250*H250,2)</f>
        <v>160.31</v>
      </c>
      <c r="J250" s="418">
        <f>ROUND(I250*E250,2)</f>
        <v>167363.64000000001</v>
      </c>
      <c r="K250" s="419">
        <f>ROUND(J250*0.2,2)</f>
        <v>33472.730000000003</v>
      </c>
      <c r="L250" s="420">
        <f>ROUND(J250+K250,2)</f>
        <v>200836.37</v>
      </c>
      <c r="M250" s="64"/>
      <c r="N250" s="77"/>
      <c r="O250" s="18"/>
      <c r="P250" s="22"/>
      <c r="Q250" s="22"/>
      <c r="R250" s="22"/>
    </row>
    <row r="251" spans="1:18" s="20" customFormat="1" ht="25.5" hidden="1" x14ac:dyDescent="0.2">
      <c r="A251" s="421" t="s">
        <v>85</v>
      </c>
      <c r="B251" s="422" t="s">
        <v>440</v>
      </c>
      <c r="C251" s="422">
        <f>147*0.5</f>
        <v>73.5</v>
      </c>
      <c r="D251" s="422">
        <v>1</v>
      </c>
      <c r="E251" s="422">
        <f>ROUND(C251*D251,2)</f>
        <v>73.5</v>
      </c>
      <c r="F251" s="422"/>
      <c r="G251" s="416">
        <v>1547.81</v>
      </c>
      <c r="H251" s="417">
        <v>2.0764999999999998</v>
      </c>
      <c r="I251" s="416">
        <f>ROUND(G251*H251,2)</f>
        <v>3214.03</v>
      </c>
      <c r="J251" s="418">
        <f>ROUND(I251*E251,2)</f>
        <v>236231.21</v>
      </c>
      <c r="K251" s="419">
        <f>ROUND(J251*0.2,2)</f>
        <v>47246.239999999998</v>
      </c>
      <c r="L251" s="420">
        <f>ROUND(J251+K251,2)</f>
        <v>283477.45</v>
      </c>
      <c r="M251" s="64"/>
      <c r="N251" s="77">
        <v>129163.68</v>
      </c>
      <c r="O251" s="18">
        <v>129039.44</v>
      </c>
      <c r="P251" s="22"/>
      <c r="Q251" s="22"/>
      <c r="R251" s="22"/>
    </row>
    <row r="252" spans="1:18" s="20" customFormat="1" ht="38.25" hidden="1" x14ac:dyDescent="0.2">
      <c r="A252" s="224" t="s">
        <v>86</v>
      </c>
      <c r="B252" s="422"/>
      <c r="C252" s="422"/>
      <c r="D252" s="422"/>
      <c r="E252" s="422"/>
      <c r="F252" s="422"/>
      <c r="G252" s="416"/>
      <c r="H252" s="417"/>
      <c r="I252" s="416"/>
      <c r="J252" s="418"/>
      <c r="K252" s="419"/>
      <c r="L252" s="420"/>
      <c r="M252" s="64"/>
      <c r="N252" s="77">
        <v>182328.80000000002</v>
      </c>
      <c r="O252" s="18">
        <v>182150.79</v>
      </c>
      <c r="P252" s="22"/>
      <c r="Q252" s="22"/>
      <c r="R252" s="22"/>
    </row>
    <row r="253" spans="1:18" s="20" customFormat="1" ht="25.5" hidden="1" x14ac:dyDescent="0.2">
      <c r="A253" s="421" t="s">
        <v>87</v>
      </c>
      <c r="B253" s="422" t="s">
        <v>422</v>
      </c>
      <c r="C253" s="422">
        <f>522</f>
        <v>522</v>
      </c>
      <c r="D253" s="422">
        <v>1</v>
      </c>
      <c r="E253" s="422">
        <f t="shared" ref="E253:E271" si="67">ROUND(C253*D253,2)</f>
        <v>522</v>
      </c>
      <c r="F253" s="422"/>
      <c r="G253" s="416">
        <v>108.09</v>
      </c>
      <c r="H253" s="417">
        <v>2.0764999999999998</v>
      </c>
      <c r="I253" s="416">
        <f t="shared" ref="I253:I269" si="68">ROUND(G253*H253,2)</f>
        <v>224.45</v>
      </c>
      <c r="J253" s="418">
        <f t="shared" ref="J253:J269" si="69">ROUND(I253*E253,2)</f>
        <v>117162.9</v>
      </c>
      <c r="K253" s="419">
        <f t="shared" ref="K253:K269" si="70">ROUND(J253*0.2,2)</f>
        <v>23432.58</v>
      </c>
      <c r="L253" s="420">
        <f t="shared" ref="L253:L268" si="71">ROUND(J253+K253,2)</f>
        <v>140595.48000000001</v>
      </c>
      <c r="M253" s="64"/>
      <c r="N253" s="77"/>
      <c r="O253" s="18"/>
      <c r="P253" s="22"/>
      <c r="Q253" s="22"/>
      <c r="R253" s="22"/>
    </row>
    <row r="254" spans="1:18" s="20" customFormat="1" ht="51" hidden="1" x14ac:dyDescent="0.2">
      <c r="A254" s="421" t="s">
        <v>111</v>
      </c>
      <c r="B254" s="422" t="s">
        <v>422</v>
      </c>
      <c r="C254" s="422">
        <f>48</f>
        <v>48</v>
      </c>
      <c r="D254" s="422">
        <v>1</v>
      </c>
      <c r="E254" s="422">
        <f t="shared" si="67"/>
        <v>48</v>
      </c>
      <c r="F254" s="422"/>
      <c r="G254" s="416">
        <v>3286.73</v>
      </c>
      <c r="H254" s="417">
        <v>2.0764999999999998</v>
      </c>
      <c r="I254" s="416">
        <f t="shared" si="68"/>
        <v>6824.89</v>
      </c>
      <c r="J254" s="418">
        <f t="shared" si="69"/>
        <v>327594.71999999997</v>
      </c>
      <c r="K254" s="419">
        <f t="shared" si="70"/>
        <v>65518.94</v>
      </c>
      <c r="L254" s="420">
        <f t="shared" si="71"/>
        <v>393113.66</v>
      </c>
      <c r="M254" s="64"/>
      <c r="N254" s="77">
        <v>90427.1</v>
      </c>
      <c r="O254" s="18">
        <v>55726.19</v>
      </c>
      <c r="P254" s="22"/>
      <c r="Q254" s="22"/>
      <c r="R254" s="22"/>
    </row>
    <row r="255" spans="1:18" s="20" customFormat="1" ht="63.75" hidden="1" x14ac:dyDescent="0.2">
      <c r="A255" s="411" t="s">
        <v>506</v>
      </c>
      <c r="B255" s="422" t="s">
        <v>422</v>
      </c>
      <c r="C255" s="422">
        <f>15</f>
        <v>15</v>
      </c>
      <c r="D255" s="422">
        <v>1</v>
      </c>
      <c r="E255" s="422">
        <f t="shared" si="67"/>
        <v>15</v>
      </c>
      <c r="F255" s="422"/>
      <c r="G255" s="416">
        <v>6596.71</v>
      </c>
      <c r="H255" s="417">
        <v>2.0764999999999998</v>
      </c>
      <c r="I255" s="416">
        <f t="shared" si="68"/>
        <v>13698.07</v>
      </c>
      <c r="J255" s="418">
        <f t="shared" si="69"/>
        <v>205471.05</v>
      </c>
      <c r="K255" s="419">
        <f t="shared" si="70"/>
        <v>41094.21</v>
      </c>
      <c r="L255" s="420">
        <f t="shared" si="71"/>
        <v>246565.26</v>
      </c>
      <c r="M255" s="64"/>
      <c r="N255" s="77">
        <v>500424.66</v>
      </c>
      <c r="O255" s="18">
        <v>626236.18999999994</v>
      </c>
      <c r="P255" s="22"/>
      <c r="Q255" s="22"/>
      <c r="R255" s="22"/>
    </row>
    <row r="256" spans="1:18" s="20" customFormat="1" ht="25.5" hidden="1" x14ac:dyDescent="0.2">
      <c r="A256" s="421" t="s">
        <v>140</v>
      </c>
      <c r="B256" s="422" t="s">
        <v>422</v>
      </c>
      <c r="C256" s="422">
        <f>20</f>
        <v>20</v>
      </c>
      <c r="D256" s="422">
        <v>1</v>
      </c>
      <c r="E256" s="422">
        <f t="shared" si="67"/>
        <v>20</v>
      </c>
      <c r="F256" s="422"/>
      <c r="G256" s="416">
        <v>2893.7</v>
      </c>
      <c r="H256" s="417">
        <v>2.0764999999999998</v>
      </c>
      <c r="I256" s="416">
        <f t="shared" si="68"/>
        <v>6008.77</v>
      </c>
      <c r="J256" s="418">
        <f t="shared" si="69"/>
        <v>120175.4</v>
      </c>
      <c r="K256" s="419">
        <f t="shared" si="70"/>
        <v>24035.08</v>
      </c>
      <c r="L256" s="420">
        <f t="shared" si="71"/>
        <v>144210.48000000001</v>
      </c>
      <c r="M256" s="64"/>
      <c r="N256" s="77">
        <v>317175.48000000004</v>
      </c>
      <c r="O256" s="18">
        <v>126746.31</v>
      </c>
      <c r="P256" s="22"/>
      <c r="Q256" s="22"/>
      <c r="R256" s="22"/>
    </row>
    <row r="257" spans="1:18" s="20" customFormat="1" ht="38.25" hidden="1" x14ac:dyDescent="0.2">
      <c r="A257" s="421" t="s">
        <v>112</v>
      </c>
      <c r="B257" s="422" t="s">
        <v>422</v>
      </c>
      <c r="C257" s="422">
        <v>100</v>
      </c>
      <c r="D257" s="422">
        <v>1</v>
      </c>
      <c r="E257" s="422">
        <f t="shared" si="67"/>
        <v>100</v>
      </c>
      <c r="F257" s="422"/>
      <c r="G257" s="416">
        <v>643.77</v>
      </c>
      <c r="H257" s="417">
        <v>2.0764999999999998</v>
      </c>
      <c r="I257" s="416">
        <f t="shared" si="68"/>
        <v>1336.79</v>
      </c>
      <c r="J257" s="418">
        <f t="shared" si="69"/>
        <v>133679</v>
      </c>
      <c r="K257" s="419">
        <f t="shared" si="70"/>
        <v>26735.8</v>
      </c>
      <c r="L257" s="420">
        <f t="shared" si="71"/>
        <v>160414.79999999999</v>
      </c>
      <c r="M257" s="64"/>
      <c r="N257" s="77">
        <v>166957.62999999998</v>
      </c>
      <c r="O257" s="18">
        <v>148261.91</v>
      </c>
      <c r="P257" s="22"/>
      <c r="Q257" s="22"/>
      <c r="R257" s="22"/>
    </row>
    <row r="258" spans="1:18" s="20" customFormat="1" ht="25.5" hidden="1" x14ac:dyDescent="0.2">
      <c r="A258" s="421" t="s">
        <v>137</v>
      </c>
      <c r="B258" s="422" t="s">
        <v>422</v>
      </c>
      <c r="C258" s="422">
        <f>100</f>
        <v>100</v>
      </c>
      <c r="D258" s="422">
        <v>1</v>
      </c>
      <c r="E258" s="422">
        <f t="shared" si="67"/>
        <v>100</v>
      </c>
      <c r="F258" s="422"/>
      <c r="G258" s="416">
        <v>167.36</v>
      </c>
      <c r="H258" s="417">
        <v>2.0764999999999998</v>
      </c>
      <c r="I258" s="416">
        <f t="shared" si="68"/>
        <v>347.52</v>
      </c>
      <c r="J258" s="418">
        <f t="shared" si="69"/>
        <v>34752</v>
      </c>
      <c r="K258" s="419">
        <f t="shared" si="70"/>
        <v>6950.4</v>
      </c>
      <c r="L258" s="420">
        <f t="shared" si="71"/>
        <v>41702.400000000001</v>
      </c>
      <c r="M258" s="64"/>
      <c r="N258" s="77">
        <v>206354.4</v>
      </c>
      <c r="O258" s="18">
        <v>161829.07999999999</v>
      </c>
      <c r="P258" s="22"/>
      <c r="Q258" s="22"/>
      <c r="R258" s="22"/>
    </row>
    <row r="259" spans="1:18" s="20" customFormat="1" ht="102" hidden="1" x14ac:dyDescent="0.2">
      <c r="A259" s="421" t="s">
        <v>202</v>
      </c>
      <c r="B259" s="422" t="s">
        <v>433</v>
      </c>
      <c r="C259" s="422">
        <f>1443</f>
        <v>1443</v>
      </c>
      <c r="D259" s="422">
        <v>1</v>
      </c>
      <c r="E259" s="422">
        <f t="shared" si="67"/>
        <v>1443</v>
      </c>
      <c r="F259" s="422"/>
      <c r="G259" s="416">
        <v>38.590000000000003</v>
      </c>
      <c r="H259" s="417">
        <v>2.0764999999999998</v>
      </c>
      <c r="I259" s="416">
        <f t="shared" si="68"/>
        <v>80.13</v>
      </c>
      <c r="J259" s="418">
        <f t="shared" si="69"/>
        <v>115627.59</v>
      </c>
      <c r="K259" s="419">
        <f t="shared" si="70"/>
        <v>23125.52</v>
      </c>
      <c r="L259" s="420">
        <f t="shared" si="71"/>
        <v>138753.10999999999</v>
      </c>
      <c r="M259" s="64"/>
      <c r="N259" s="77">
        <v>26823.599999999999</v>
      </c>
      <c r="O259" s="18">
        <v>26797.3</v>
      </c>
      <c r="P259" s="22"/>
      <c r="Q259" s="22"/>
      <c r="R259" s="22"/>
    </row>
    <row r="260" spans="1:18" s="20" customFormat="1" ht="25.5" hidden="1" x14ac:dyDescent="0.2">
      <c r="A260" s="421" t="s">
        <v>104</v>
      </c>
      <c r="B260" s="422" t="s">
        <v>411</v>
      </c>
      <c r="C260" s="422">
        <f>3.9</f>
        <v>3.9</v>
      </c>
      <c r="D260" s="422">
        <v>1</v>
      </c>
      <c r="E260" s="422">
        <f t="shared" si="67"/>
        <v>3.9</v>
      </c>
      <c r="F260" s="422"/>
      <c r="G260" s="416">
        <v>5333.45</v>
      </c>
      <c r="H260" s="417">
        <v>2.0764999999999998</v>
      </c>
      <c r="I260" s="416">
        <f t="shared" si="68"/>
        <v>11074.91</v>
      </c>
      <c r="J260" s="418">
        <f t="shared" si="69"/>
        <v>43192.15</v>
      </c>
      <c r="K260" s="419">
        <f t="shared" si="70"/>
        <v>8638.43</v>
      </c>
      <c r="L260" s="420">
        <f t="shared" si="71"/>
        <v>51830.58</v>
      </c>
      <c r="M260" s="64"/>
      <c r="N260" s="77">
        <v>89263.98</v>
      </c>
      <c r="O260" s="18">
        <v>89170.62</v>
      </c>
      <c r="P260" s="22">
        <f>2885*0.5/100</f>
        <v>14.425000000000001</v>
      </c>
      <c r="Q260" s="22">
        <f>1297+1588</f>
        <v>2885</v>
      </c>
      <c r="R260" s="22"/>
    </row>
    <row r="261" spans="1:18" s="20" customFormat="1" ht="38.25" hidden="1" x14ac:dyDescent="0.2">
      <c r="A261" s="411" t="s">
        <v>467</v>
      </c>
      <c r="B261" s="425" t="s">
        <v>422</v>
      </c>
      <c r="C261" s="425">
        <v>536</v>
      </c>
      <c r="D261" s="425">
        <v>1</v>
      </c>
      <c r="E261" s="459">
        <f t="shared" si="67"/>
        <v>536</v>
      </c>
      <c r="F261" s="425"/>
      <c r="G261" s="416">
        <v>98.67</v>
      </c>
      <c r="H261" s="417">
        <v>2.0764999999999998</v>
      </c>
      <c r="I261" s="416">
        <f t="shared" si="68"/>
        <v>204.89</v>
      </c>
      <c r="J261" s="418">
        <f t="shared" si="69"/>
        <v>109821.04</v>
      </c>
      <c r="K261" s="419">
        <f t="shared" si="70"/>
        <v>21964.21</v>
      </c>
      <c r="L261" s="420">
        <f t="shared" si="71"/>
        <v>131785.25</v>
      </c>
      <c r="M261" s="64"/>
      <c r="N261" s="77">
        <v>66673.72</v>
      </c>
      <c r="O261" s="18">
        <v>33304.28</v>
      </c>
      <c r="P261" s="22">
        <f>26*15/100</f>
        <v>3.9</v>
      </c>
      <c r="Q261" s="22" t="s">
        <v>322</v>
      </c>
      <c r="R261" s="22"/>
    </row>
    <row r="262" spans="1:18" s="20" customFormat="1" ht="51" hidden="1" x14ac:dyDescent="0.2">
      <c r="A262" s="411" t="s">
        <v>469</v>
      </c>
      <c r="B262" s="425" t="s">
        <v>118</v>
      </c>
      <c r="C262" s="460">
        <f>25*50/100</f>
        <v>12.5</v>
      </c>
      <c r="D262" s="425">
        <v>2</v>
      </c>
      <c r="E262" s="459">
        <f t="shared" si="67"/>
        <v>25</v>
      </c>
      <c r="F262" s="425"/>
      <c r="G262" s="416">
        <v>531.04</v>
      </c>
      <c r="H262" s="417">
        <v>2.0764999999999998</v>
      </c>
      <c r="I262" s="416">
        <f t="shared" si="68"/>
        <v>1102.7</v>
      </c>
      <c r="J262" s="418">
        <f t="shared" si="69"/>
        <v>27567.5</v>
      </c>
      <c r="K262" s="419">
        <f t="shared" si="70"/>
        <v>5513.5</v>
      </c>
      <c r="L262" s="420">
        <f t="shared" si="71"/>
        <v>33081</v>
      </c>
      <c r="M262" s="64"/>
      <c r="N262" s="77"/>
      <c r="O262" s="18"/>
      <c r="P262" s="22"/>
      <c r="Q262" s="22"/>
      <c r="R262" s="22"/>
    </row>
    <row r="263" spans="1:18" s="20" customFormat="1" ht="12.75" hidden="1" x14ac:dyDescent="0.2">
      <c r="A263" s="439" t="s">
        <v>471</v>
      </c>
      <c r="B263" s="425" t="s">
        <v>433</v>
      </c>
      <c r="C263" s="425">
        <f>2885</f>
        <v>2885</v>
      </c>
      <c r="D263" s="425">
        <v>2</v>
      </c>
      <c r="E263" s="459">
        <f t="shared" si="67"/>
        <v>5770</v>
      </c>
      <c r="F263" s="425"/>
      <c r="G263" s="416">
        <v>2.89</v>
      </c>
      <c r="H263" s="417">
        <v>2.0764999999999998</v>
      </c>
      <c r="I263" s="416">
        <f t="shared" si="68"/>
        <v>6</v>
      </c>
      <c r="J263" s="418">
        <f t="shared" si="69"/>
        <v>34620</v>
      </c>
      <c r="K263" s="419">
        <f t="shared" si="70"/>
        <v>6924</v>
      </c>
      <c r="L263" s="420">
        <f t="shared" si="71"/>
        <v>41544</v>
      </c>
      <c r="M263" s="64"/>
      <c r="N263" s="77"/>
      <c r="O263" s="18"/>
      <c r="P263" s="22"/>
      <c r="Q263" s="22"/>
      <c r="R263" s="22"/>
    </row>
    <row r="264" spans="1:18" s="20" customFormat="1" ht="12.75" hidden="1" x14ac:dyDescent="0.2">
      <c r="A264" s="439" t="s">
        <v>473</v>
      </c>
      <c r="B264" s="425" t="s">
        <v>422</v>
      </c>
      <c r="C264" s="425">
        <v>100</v>
      </c>
      <c r="D264" s="425">
        <v>1</v>
      </c>
      <c r="E264" s="459">
        <f t="shared" si="67"/>
        <v>100</v>
      </c>
      <c r="F264" s="425"/>
      <c r="G264" s="416">
        <v>101.02</v>
      </c>
      <c r="H264" s="417">
        <v>2.0764999999999998</v>
      </c>
      <c r="I264" s="416">
        <f t="shared" si="68"/>
        <v>209.77</v>
      </c>
      <c r="J264" s="418">
        <f t="shared" si="69"/>
        <v>20977</v>
      </c>
      <c r="K264" s="419">
        <f t="shared" si="70"/>
        <v>4195.3999999999996</v>
      </c>
      <c r="L264" s="420">
        <f t="shared" si="71"/>
        <v>25172.400000000001</v>
      </c>
      <c r="M264" s="64"/>
      <c r="N264" s="77"/>
      <c r="O264" s="18"/>
      <c r="P264" s="22"/>
      <c r="Q264" s="22"/>
      <c r="R264" s="22"/>
    </row>
    <row r="265" spans="1:18" s="20" customFormat="1" ht="63.75" hidden="1" x14ac:dyDescent="0.2">
      <c r="A265" s="461" t="s">
        <v>475</v>
      </c>
      <c r="B265" s="425" t="s">
        <v>433</v>
      </c>
      <c r="C265" s="425">
        <v>2885</v>
      </c>
      <c r="D265" s="425">
        <v>6</v>
      </c>
      <c r="E265" s="459">
        <f t="shared" si="67"/>
        <v>17310</v>
      </c>
      <c r="F265" s="425"/>
      <c r="G265" s="416">
        <v>0.57999999999999996</v>
      </c>
      <c r="H265" s="417">
        <v>2.0764999999999998</v>
      </c>
      <c r="I265" s="416">
        <f t="shared" si="68"/>
        <v>1.2</v>
      </c>
      <c r="J265" s="418">
        <f>ROUND(I265*E265,2)</f>
        <v>20772</v>
      </c>
      <c r="K265" s="419">
        <f t="shared" si="70"/>
        <v>4154.3999999999996</v>
      </c>
      <c r="L265" s="420">
        <f t="shared" si="71"/>
        <v>24926.400000000001</v>
      </c>
      <c r="M265" s="64"/>
      <c r="N265" s="77"/>
      <c r="O265" s="18"/>
      <c r="P265" s="22"/>
      <c r="Q265" s="22"/>
      <c r="R265" s="22"/>
    </row>
    <row r="266" spans="1:18" s="20" customFormat="1" ht="38.25" hidden="1" x14ac:dyDescent="0.2">
      <c r="A266" s="461" t="s">
        <v>477</v>
      </c>
      <c r="B266" s="425" t="s">
        <v>433</v>
      </c>
      <c r="C266" s="425">
        <v>50</v>
      </c>
      <c r="D266" s="425">
        <v>1</v>
      </c>
      <c r="E266" s="459">
        <f t="shared" si="67"/>
        <v>50</v>
      </c>
      <c r="F266" s="425"/>
      <c r="G266" s="416">
        <v>382.85</v>
      </c>
      <c r="H266" s="417">
        <v>2.0764999999999998</v>
      </c>
      <c r="I266" s="416">
        <f t="shared" si="68"/>
        <v>794.99</v>
      </c>
      <c r="J266" s="418">
        <f t="shared" si="69"/>
        <v>39749.5</v>
      </c>
      <c r="K266" s="419">
        <f t="shared" si="70"/>
        <v>7949.9</v>
      </c>
      <c r="L266" s="420">
        <f t="shared" si="71"/>
        <v>47699.4</v>
      </c>
      <c r="M266" s="64"/>
      <c r="N266" s="77"/>
      <c r="O266" s="18"/>
      <c r="P266" s="22"/>
      <c r="Q266" s="22"/>
      <c r="R266" s="22"/>
    </row>
    <row r="267" spans="1:18" s="20" customFormat="1" ht="25.5" hidden="1" x14ac:dyDescent="0.2">
      <c r="A267" s="461" t="s">
        <v>479</v>
      </c>
      <c r="B267" s="425" t="s">
        <v>422</v>
      </c>
      <c r="C267" s="425">
        <v>121</v>
      </c>
      <c r="D267" s="425">
        <v>1</v>
      </c>
      <c r="E267" s="459">
        <f t="shared" si="67"/>
        <v>121</v>
      </c>
      <c r="F267" s="425"/>
      <c r="G267" s="416">
        <v>209.02</v>
      </c>
      <c r="H267" s="417">
        <v>2.0764999999999998</v>
      </c>
      <c r="I267" s="416">
        <f t="shared" si="68"/>
        <v>434.03</v>
      </c>
      <c r="J267" s="418">
        <f t="shared" si="69"/>
        <v>52517.63</v>
      </c>
      <c r="K267" s="419">
        <f t="shared" si="70"/>
        <v>10503.53</v>
      </c>
      <c r="L267" s="420">
        <f t="shared" si="71"/>
        <v>63021.16</v>
      </c>
      <c r="M267" s="64"/>
      <c r="N267" s="77"/>
      <c r="O267" s="18"/>
      <c r="P267" s="22"/>
      <c r="Q267" s="22"/>
      <c r="R267" s="22"/>
    </row>
    <row r="268" spans="1:18" s="20" customFormat="1" ht="89.25" hidden="1" x14ac:dyDescent="0.2">
      <c r="A268" s="421" t="s">
        <v>509</v>
      </c>
      <c r="B268" s="423" t="s">
        <v>507</v>
      </c>
      <c r="C268" s="422">
        <v>4</v>
      </c>
      <c r="D268" s="422">
        <v>3</v>
      </c>
      <c r="E268" s="459">
        <f t="shared" si="67"/>
        <v>12</v>
      </c>
      <c r="F268" s="422"/>
      <c r="G268" s="416">
        <v>4248.72</v>
      </c>
      <c r="H268" s="417">
        <v>2.0764999999999998</v>
      </c>
      <c r="I268" s="416">
        <f t="shared" si="68"/>
        <v>8822.4699999999993</v>
      </c>
      <c r="J268" s="418">
        <f t="shared" si="69"/>
        <v>105869.64</v>
      </c>
      <c r="K268" s="419">
        <f t="shared" si="70"/>
        <v>21173.93</v>
      </c>
      <c r="L268" s="420">
        <f t="shared" si="71"/>
        <v>127043.57</v>
      </c>
      <c r="M268" s="64"/>
      <c r="N268" s="77"/>
      <c r="O268" s="18"/>
      <c r="P268" s="22"/>
      <c r="Q268" s="22"/>
      <c r="R268" s="22"/>
    </row>
    <row r="269" spans="1:18" s="20" customFormat="1" ht="38.25" hidden="1" x14ac:dyDescent="0.2">
      <c r="A269" s="411" t="s">
        <v>518</v>
      </c>
      <c r="B269" s="432" t="s">
        <v>508</v>
      </c>
      <c r="C269" s="414">
        <v>1</v>
      </c>
      <c r="D269" s="414">
        <v>91</v>
      </c>
      <c r="E269" s="414">
        <f t="shared" si="67"/>
        <v>91</v>
      </c>
      <c r="F269" s="422"/>
      <c r="G269" s="416">
        <v>535.76</v>
      </c>
      <c r="H269" s="435">
        <v>1.0680000000000001</v>
      </c>
      <c r="I269" s="416">
        <f t="shared" si="68"/>
        <v>572.19000000000005</v>
      </c>
      <c r="J269" s="418">
        <f t="shared" si="69"/>
        <v>52069.29</v>
      </c>
      <c r="K269" s="419">
        <f t="shared" si="70"/>
        <v>10413.86</v>
      </c>
      <c r="L269" s="420">
        <f>ROUND(K269+J269,2)</f>
        <v>62483.15</v>
      </c>
      <c r="M269" s="64"/>
      <c r="N269" s="77"/>
      <c r="O269" s="18"/>
      <c r="P269" s="22"/>
      <c r="Q269" s="22"/>
      <c r="R269" s="22"/>
    </row>
    <row r="270" spans="1:18" s="20" customFormat="1" ht="12.75" hidden="1" x14ac:dyDescent="0.2">
      <c r="A270" s="224" t="s">
        <v>88</v>
      </c>
      <c r="B270" s="422"/>
      <c r="C270" s="422"/>
      <c r="D270" s="422"/>
      <c r="E270" s="422"/>
      <c r="F270" s="422"/>
      <c r="G270" s="416"/>
      <c r="H270" s="417"/>
      <c r="I270" s="416"/>
      <c r="J270" s="418"/>
      <c r="K270" s="419"/>
      <c r="L270" s="420"/>
      <c r="M270" s="64"/>
      <c r="N270" s="77"/>
      <c r="O270" s="18"/>
      <c r="P270" s="22"/>
      <c r="Q270" s="22"/>
      <c r="R270" s="22"/>
    </row>
    <row r="271" spans="1:18" s="20" customFormat="1" ht="63.75" hidden="1" x14ac:dyDescent="0.2">
      <c r="A271" s="421" t="s">
        <v>171</v>
      </c>
      <c r="B271" s="422" t="s">
        <v>436</v>
      </c>
      <c r="C271" s="422">
        <v>800</v>
      </c>
      <c r="D271" s="422">
        <v>3</v>
      </c>
      <c r="E271" s="422">
        <f t="shared" si="67"/>
        <v>2400</v>
      </c>
      <c r="F271" s="434"/>
      <c r="G271" s="416">
        <v>12.79</v>
      </c>
      <c r="H271" s="417">
        <v>2.0764999999999998</v>
      </c>
      <c r="I271" s="416">
        <f>ROUND(G271*H271,2)</f>
        <v>26.56</v>
      </c>
      <c r="J271" s="418">
        <f>ROUND(I271*E271,2)</f>
        <v>63744</v>
      </c>
      <c r="K271" s="419">
        <f>ROUND(J271*0.2,2)</f>
        <v>12748.8</v>
      </c>
      <c r="L271" s="420">
        <f>ROUND(J271+K271,2)</f>
        <v>76492.800000000003</v>
      </c>
      <c r="M271" s="64"/>
      <c r="N271" s="77"/>
      <c r="O271" s="18"/>
      <c r="P271" s="22"/>
      <c r="Q271" s="22"/>
      <c r="R271" s="22"/>
    </row>
    <row r="272" spans="1:18" s="20" customFormat="1" ht="25.5" hidden="1" x14ac:dyDescent="0.2">
      <c r="A272" s="224" t="s">
        <v>141</v>
      </c>
      <c r="B272" s="422"/>
      <c r="C272" s="422"/>
      <c r="D272" s="422"/>
      <c r="E272" s="422"/>
      <c r="F272" s="422"/>
      <c r="G272" s="416"/>
      <c r="H272" s="417"/>
      <c r="I272" s="416"/>
      <c r="J272" s="418"/>
      <c r="K272" s="419"/>
      <c r="L272" s="420"/>
      <c r="M272" s="142">
        <v>6660078.5299999984</v>
      </c>
      <c r="N272" s="77">
        <v>149298.23999999999</v>
      </c>
      <c r="O272" s="18">
        <v>74619.570000000007</v>
      </c>
      <c r="P272" s="22"/>
      <c r="Q272" s="22"/>
      <c r="R272" s="22"/>
    </row>
    <row r="273" spans="1:18" s="20" customFormat="1" ht="114.75" hidden="1" x14ac:dyDescent="0.2">
      <c r="A273" s="421" t="s">
        <v>203</v>
      </c>
      <c r="B273" s="422" t="s">
        <v>354</v>
      </c>
      <c r="C273" s="422">
        <v>158.62</v>
      </c>
      <c r="D273" s="422">
        <v>13</v>
      </c>
      <c r="E273" s="422">
        <f>ROUND(C273*D273,2)</f>
        <v>2062.06</v>
      </c>
      <c r="F273" s="434"/>
      <c r="G273" s="416">
        <v>35.01</v>
      </c>
      <c r="H273" s="417">
        <v>2.0764999999999998</v>
      </c>
      <c r="I273" s="416">
        <f t="shared" ref="I273:I293" si="72">ROUND(G273*H273,2)</f>
        <v>72.7</v>
      </c>
      <c r="J273" s="418">
        <f t="shared" ref="J273:J293" si="73">ROUND(I273*E273,2)</f>
        <v>149911.76</v>
      </c>
      <c r="K273" s="419">
        <f t="shared" ref="K273:K293" si="74">ROUND(J273*0.2,2)</f>
        <v>29982.35</v>
      </c>
      <c r="L273" s="420">
        <f t="shared" ref="L273:L293" si="75">ROUND(J273+K273,2)</f>
        <v>179894.11</v>
      </c>
      <c r="M273" s="64"/>
      <c r="N273" s="77"/>
      <c r="O273" s="18"/>
      <c r="P273" s="22"/>
      <c r="Q273" s="22"/>
      <c r="R273" s="22"/>
    </row>
    <row r="274" spans="1:18" s="20" customFormat="1" ht="76.5" hidden="1" x14ac:dyDescent="0.2">
      <c r="A274" s="421" t="s">
        <v>113</v>
      </c>
      <c r="B274" s="422" t="s">
        <v>354</v>
      </c>
      <c r="C274" s="422">
        <v>518.32000000000005</v>
      </c>
      <c r="D274" s="422">
        <v>13</v>
      </c>
      <c r="E274" s="422">
        <f t="shared" ref="E274:E291" si="76">ROUND(C274*D274,2)</f>
        <v>6738.16</v>
      </c>
      <c r="F274" s="434"/>
      <c r="G274" s="416">
        <v>101.44</v>
      </c>
      <c r="H274" s="417">
        <v>2.0764999999999998</v>
      </c>
      <c r="I274" s="416">
        <f t="shared" si="72"/>
        <v>210.64</v>
      </c>
      <c r="J274" s="418">
        <f t="shared" si="73"/>
        <v>1419326.02</v>
      </c>
      <c r="K274" s="419">
        <f t="shared" si="74"/>
        <v>283865.2</v>
      </c>
      <c r="L274" s="420">
        <f t="shared" si="75"/>
        <v>1703191.22</v>
      </c>
      <c r="M274" s="64"/>
      <c r="N274" s="77"/>
      <c r="O274" s="18"/>
      <c r="P274" s="22"/>
      <c r="Q274" s="22"/>
      <c r="R274" s="22"/>
    </row>
    <row r="275" spans="1:18" s="20" customFormat="1" ht="76.5" hidden="1" x14ac:dyDescent="0.2">
      <c r="A275" s="421" t="s">
        <v>176</v>
      </c>
      <c r="B275" s="422" t="s">
        <v>354</v>
      </c>
      <c r="C275" s="422">
        <v>138.6</v>
      </c>
      <c r="D275" s="422">
        <v>10</v>
      </c>
      <c r="E275" s="422">
        <f t="shared" si="76"/>
        <v>1386</v>
      </c>
      <c r="F275" s="422"/>
      <c r="G275" s="416">
        <v>100.49</v>
      </c>
      <c r="H275" s="417">
        <v>2.0764999999999998</v>
      </c>
      <c r="I275" s="416">
        <f t="shared" si="72"/>
        <v>208.67</v>
      </c>
      <c r="J275" s="418">
        <f t="shared" si="73"/>
        <v>289216.62</v>
      </c>
      <c r="K275" s="419">
        <f t="shared" si="74"/>
        <v>57843.32</v>
      </c>
      <c r="L275" s="420">
        <f t="shared" si="75"/>
        <v>347059.94</v>
      </c>
      <c r="M275" s="64"/>
      <c r="N275" s="77"/>
      <c r="O275" s="18"/>
      <c r="P275" s="22"/>
      <c r="Q275" s="22"/>
      <c r="R275" s="22"/>
    </row>
    <row r="276" spans="1:18" s="20" customFormat="1" ht="89.25" hidden="1" x14ac:dyDescent="0.2">
      <c r="A276" s="421" t="s">
        <v>178</v>
      </c>
      <c r="B276" s="422" t="s">
        <v>513</v>
      </c>
      <c r="C276" s="422">
        <v>1242.597</v>
      </c>
      <c r="D276" s="422">
        <v>12</v>
      </c>
      <c r="E276" s="422">
        <f t="shared" si="76"/>
        <v>14911.16</v>
      </c>
      <c r="F276" s="422"/>
      <c r="G276" s="416">
        <v>126.79</v>
      </c>
      <c r="H276" s="417">
        <v>2.0764999999999998</v>
      </c>
      <c r="I276" s="416">
        <f t="shared" si="72"/>
        <v>263.27999999999997</v>
      </c>
      <c r="J276" s="418">
        <f t="shared" si="73"/>
        <v>3925810.2</v>
      </c>
      <c r="K276" s="419">
        <f t="shared" si="74"/>
        <v>785162.04</v>
      </c>
      <c r="L276" s="420">
        <f t="shared" si="75"/>
        <v>4710972.24</v>
      </c>
      <c r="M276" s="64"/>
      <c r="N276" s="77"/>
      <c r="O276" s="18"/>
      <c r="P276" s="22"/>
      <c r="Q276" s="22"/>
      <c r="R276" s="22"/>
    </row>
    <row r="277" spans="1:18" s="20" customFormat="1" ht="76.5" hidden="1" x14ac:dyDescent="0.2">
      <c r="A277" s="421" t="s">
        <v>204</v>
      </c>
      <c r="B277" s="422" t="s">
        <v>513</v>
      </c>
      <c r="C277" s="422">
        <v>415.8</v>
      </c>
      <c r="D277" s="422">
        <v>10</v>
      </c>
      <c r="E277" s="422">
        <f t="shared" si="76"/>
        <v>4158</v>
      </c>
      <c r="F277" s="422"/>
      <c r="G277" s="416">
        <v>57.420999999999999</v>
      </c>
      <c r="H277" s="417">
        <v>2.0764999999999998</v>
      </c>
      <c r="I277" s="416">
        <f t="shared" si="72"/>
        <v>119.23</v>
      </c>
      <c r="J277" s="418">
        <f t="shared" si="73"/>
        <v>495758.34</v>
      </c>
      <c r="K277" s="419">
        <f t="shared" si="74"/>
        <v>99151.67</v>
      </c>
      <c r="L277" s="420">
        <f t="shared" si="75"/>
        <v>594910.01</v>
      </c>
      <c r="M277" s="64"/>
      <c r="N277" s="77"/>
      <c r="O277" s="18"/>
      <c r="P277" s="22"/>
      <c r="Q277" s="22"/>
      <c r="R277" s="22"/>
    </row>
    <row r="278" spans="1:18" s="20" customFormat="1" ht="114.75" hidden="1" x14ac:dyDescent="0.2">
      <c r="A278" s="421" t="s">
        <v>514</v>
      </c>
      <c r="B278" s="422" t="s">
        <v>513</v>
      </c>
      <c r="C278" s="422">
        <v>617.45299999999997</v>
      </c>
      <c r="D278" s="422">
        <v>13</v>
      </c>
      <c r="E278" s="422">
        <f t="shared" si="76"/>
        <v>8026.89</v>
      </c>
      <c r="F278" s="422"/>
      <c r="G278" s="416">
        <v>41.19</v>
      </c>
      <c r="H278" s="417">
        <v>2.0764999999999998</v>
      </c>
      <c r="I278" s="416">
        <f t="shared" si="72"/>
        <v>85.53</v>
      </c>
      <c r="J278" s="418">
        <f t="shared" si="73"/>
        <v>686539.9</v>
      </c>
      <c r="K278" s="419">
        <f t="shared" si="74"/>
        <v>137307.98000000001</v>
      </c>
      <c r="L278" s="420">
        <f t="shared" si="75"/>
        <v>823847.88</v>
      </c>
      <c r="M278" s="64"/>
      <c r="N278" s="77"/>
      <c r="O278" s="18"/>
      <c r="P278" s="22"/>
      <c r="Q278" s="22"/>
      <c r="R278" s="22"/>
    </row>
    <row r="279" spans="1:18" s="20" customFormat="1" ht="127.5" hidden="1" x14ac:dyDescent="0.2">
      <c r="A279" s="421" t="s">
        <v>515</v>
      </c>
      <c r="B279" s="422" t="s">
        <v>513</v>
      </c>
      <c r="C279" s="422">
        <v>617.45299999999997</v>
      </c>
      <c r="D279" s="422">
        <v>13</v>
      </c>
      <c r="E279" s="422">
        <f t="shared" si="76"/>
        <v>8026.89</v>
      </c>
      <c r="F279" s="422"/>
      <c r="G279" s="416">
        <v>26.46</v>
      </c>
      <c r="H279" s="417">
        <v>2.0764999999999998</v>
      </c>
      <c r="I279" s="416">
        <f t="shared" si="72"/>
        <v>54.94</v>
      </c>
      <c r="J279" s="418">
        <f t="shared" si="73"/>
        <v>440997.34</v>
      </c>
      <c r="K279" s="419">
        <f t="shared" si="74"/>
        <v>88199.47</v>
      </c>
      <c r="L279" s="420">
        <f t="shared" si="75"/>
        <v>529196.81000000006</v>
      </c>
      <c r="M279" s="64"/>
      <c r="N279" s="77"/>
      <c r="O279" s="18"/>
      <c r="P279" s="22"/>
      <c r="Q279" s="22"/>
      <c r="R279" s="22"/>
    </row>
    <row r="280" spans="1:18" s="20" customFormat="1" ht="140.25" hidden="1" x14ac:dyDescent="0.2">
      <c r="A280" s="421" t="s">
        <v>205</v>
      </c>
      <c r="B280" s="422" t="s">
        <v>513</v>
      </c>
      <c r="C280" s="422">
        <v>617.45299999999997</v>
      </c>
      <c r="D280" s="422">
        <v>11</v>
      </c>
      <c r="E280" s="422">
        <f t="shared" si="76"/>
        <v>6791.98</v>
      </c>
      <c r="F280" s="422"/>
      <c r="G280" s="416">
        <v>57.06</v>
      </c>
      <c r="H280" s="417">
        <v>2.0764999999999998</v>
      </c>
      <c r="I280" s="416">
        <f t="shared" si="72"/>
        <v>118.49</v>
      </c>
      <c r="J280" s="418">
        <f t="shared" si="73"/>
        <v>804781.71</v>
      </c>
      <c r="K280" s="419">
        <f t="shared" si="74"/>
        <v>160956.34</v>
      </c>
      <c r="L280" s="420">
        <f t="shared" si="75"/>
        <v>965738.05</v>
      </c>
      <c r="M280" s="132">
        <f>L280+L281+L282</f>
        <v>10270413.690000001</v>
      </c>
      <c r="N280" s="77"/>
      <c r="O280" s="18"/>
      <c r="P280" s="22"/>
      <c r="Q280" s="22"/>
      <c r="R280" s="22"/>
    </row>
    <row r="281" spans="1:18" s="20" customFormat="1" ht="76.5" hidden="1" x14ac:dyDescent="0.2">
      <c r="A281" s="421" t="s">
        <v>496</v>
      </c>
      <c r="B281" s="422" t="s">
        <v>513</v>
      </c>
      <c r="C281" s="422">
        <v>683.50800000000004</v>
      </c>
      <c r="D281" s="422">
        <v>11</v>
      </c>
      <c r="E281" s="422">
        <f t="shared" si="76"/>
        <v>7518.59</v>
      </c>
      <c r="F281" s="422"/>
      <c r="G281" s="416">
        <v>57.06</v>
      </c>
      <c r="H281" s="417">
        <v>2.0764999999999998</v>
      </c>
      <c r="I281" s="416">
        <f t="shared" si="72"/>
        <v>118.49</v>
      </c>
      <c r="J281" s="418">
        <f t="shared" si="73"/>
        <v>890877.73</v>
      </c>
      <c r="K281" s="419">
        <f t="shared" si="74"/>
        <v>178175.55</v>
      </c>
      <c r="L281" s="420">
        <f t="shared" si="75"/>
        <v>1069053.28</v>
      </c>
      <c r="M281" s="64"/>
      <c r="N281" s="77"/>
      <c r="O281" s="18"/>
      <c r="P281" s="22"/>
      <c r="Q281" s="22"/>
      <c r="R281" s="22"/>
    </row>
    <row r="282" spans="1:18" s="20" customFormat="1" ht="51" hidden="1" x14ac:dyDescent="0.2">
      <c r="A282" s="411" t="s">
        <v>2</v>
      </c>
      <c r="B282" s="414" t="s">
        <v>355</v>
      </c>
      <c r="C282" s="422">
        <f>(C281+C280)*1000*300/1000/1000</f>
        <v>390.28829999999999</v>
      </c>
      <c r="D282" s="422">
        <v>11</v>
      </c>
      <c r="E282" s="422">
        <f t="shared" si="76"/>
        <v>4293.17</v>
      </c>
      <c r="F282" s="422"/>
      <c r="G282" s="416">
        <v>769.85</v>
      </c>
      <c r="H282" s="417">
        <v>2.0764999999999998</v>
      </c>
      <c r="I282" s="416">
        <f>ROUND(G282*H282,2)</f>
        <v>1598.59</v>
      </c>
      <c r="J282" s="418">
        <f>ROUND(I282*E282,2)</f>
        <v>6863018.6299999999</v>
      </c>
      <c r="K282" s="419">
        <f>ROUND(J282*0.2,2)</f>
        <v>1372603.73</v>
      </c>
      <c r="L282" s="420">
        <f>ROUND(J282+K282,2)</f>
        <v>8235622.3600000003</v>
      </c>
      <c r="M282" s="64"/>
      <c r="N282" s="77"/>
      <c r="O282" s="18"/>
      <c r="P282" s="22"/>
      <c r="Q282" s="22"/>
      <c r="R282" s="22"/>
    </row>
    <row r="283" spans="1:18" s="20" customFormat="1" ht="76.5" hidden="1" x14ac:dyDescent="0.2">
      <c r="A283" s="421" t="s">
        <v>114</v>
      </c>
      <c r="B283" s="422" t="s">
        <v>513</v>
      </c>
      <c r="C283" s="422">
        <v>1.01</v>
      </c>
      <c r="D283" s="422">
        <v>6</v>
      </c>
      <c r="E283" s="422">
        <f t="shared" si="76"/>
        <v>6.06</v>
      </c>
      <c r="F283" s="422"/>
      <c r="G283" s="416">
        <v>8421.01</v>
      </c>
      <c r="H283" s="417">
        <v>2.0764999999999998</v>
      </c>
      <c r="I283" s="416">
        <f t="shared" si="72"/>
        <v>17486.23</v>
      </c>
      <c r="J283" s="418">
        <f t="shared" si="73"/>
        <v>105966.55</v>
      </c>
      <c r="K283" s="419">
        <f t="shared" si="74"/>
        <v>21193.31</v>
      </c>
      <c r="L283" s="420">
        <f t="shared" si="75"/>
        <v>127159.86</v>
      </c>
      <c r="M283" s="64"/>
      <c r="N283" s="77"/>
      <c r="O283" s="18"/>
      <c r="P283" s="22"/>
      <c r="Q283" s="22"/>
      <c r="R283" s="22"/>
    </row>
    <row r="284" spans="1:18" s="20" customFormat="1" ht="38.25" hidden="1" x14ac:dyDescent="0.2">
      <c r="A284" s="421" t="s">
        <v>92</v>
      </c>
      <c r="B284" s="422" t="s">
        <v>354</v>
      </c>
      <c r="C284" s="422">
        <v>116.44199999999999</v>
      </c>
      <c r="D284" s="422">
        <v>2</v>
      </c>
      <c r="E284" s="422">
        <f t="shared" si="76"/>
        <v>232.88</v>
      </c>
      <c r="F284" s="422"/>
      <c r="G284" s="416">
        <v>234.64</v>
      </c>
      <c r="H284" s="417">
        <v>2.0764999999999998</v>
      </c>
      <c r="I284" s="416">
        <f t="shared" si="72"/>
        <v>487.23</v>
      </c>
      <c r="J284" s="418">
        <f t="shared" si="73"/>
        <v>113466.12</v>
      </c>
      <c r="K284" s="419">
        <f t="shared" si="74"/>
        <v>22693.22</v>
      </c>
      <c r="L284" s="420">
        <f t="shared" si="75"/>
        <v>136159.34</v>
      </c>
      <c r="M284" s="64"/>
      <c r="N284" s="77"/>
      <c r="O284" s="18"/>
      <c r="P284" s="22"/>
      <c r="Q284" s="22"/>
      <c r="R284" s="22"/>
    </row>
    <row r="285" spans="1:18" s="20" customFormat="1" ht="25.5" hidden="1" x14ac:dyDescent="0.2">
      <c r="A285" s="421" t="s">
        <v>93</v>
      </c>
      <c r="B285" s="422" t="s">
        <v>354</v>
      </c>
      <c r="C285" s="422">
        <v>790.44</v>
      </c>
      <c r="D285" s="422">
        <v>3</v>
      </c>
      <c r="E285" s="422">
        <f t="shared" si="76"/>
        <v>2371.3200000000002</v>
      </c>
      <c r="F285" s="422"/>
      <c r="G285" s="416">
        <v>238.67</v>
      </c>
      <c r="H285" s="417">
        <v>2.0764999999999998</v>
      </c>
      <c r="I285" s="416">
        <f t="shared" si="72"/>
        <v>495.6</v>
      </c>
      <c r="J285" s="418">
        <f t="shared" si="73"/>
        <v>1175226.19</v>
      </c>
      <c r="K285" s="419">
        <f t="shared" si="74"/>
        <v>235045.24</v>
      </c>
      <c r="L285" s="420">
        <f t="shared" si="75"/>
        <v>1410271.43</v>
      </c>
      <c r="M285" s="64"/>
      <c r="N285" s="77"/>
      <c r="O285" s="18"/>
      <c r="P285" s="22"/>
      <c r="Q285" s="22"/>
      <c r="R285" s="22"/>
    </row>
    <row r="286" spans="1:18" s="20" customFormat="1" ht="25.5" hidden="1" x14ac:dyDescent="0.2">
      <c r="A286" s="421" t="s">
        <v>95</v>
      </c>
      <c r="B286" s="422" t="s">
        <v>354</v>
      </c>
      <c r="C286" s="422">
        <v>14.618</v>
      </c>
      <c r="D286" s="422">
        <v>10</v>
      </c>
      <c r="E286" s="422">
        <f t="shared" si="76"/>
        <v>146.18</v>
      </c>
      <c r="F286" s="422"/>
      <c r="G286" s="416">
        <v>320.39999999999998</v>
      </c>
      <c r="H286" s="417">
        <v>2.0764999999999998</v>
      </c>
      <c r="I286" s="416">
        <f>ROUND(G286*H286,2)</f>
        <v>665.31</v>
      </c>
      <c r="J286" s="418">
        <f>ROUND(I286*E286,2)</f>
        <v>97255.02</v>
      </c>
      <c r="K286" s="419">
        <f>ROUND(J286*0.2,2)</f>
        <v>19451</v>
      </c>
      <c r="L286" s="420">
        <f>ROUND(J286+K286,2)</f>
        <v>116706.02</v>
      </c>
      <c r="M286" s="64"/>
      <c r="N286" s="77"/>
      <c r="O286" s="18"/>
      <c r="P286" s="22"/>
      <c r="Q286" s="22"/>
      <c r="R286" s="22"/>
    </row>
    <row r="287" spans="1:18" s="20" customFormat="1" ht="63.75" hidden="1" x14ac:dyDescent="0.2">
      <c r="A287" s="421" t="s">
        <v>171</v>
      </c>
      <c r="B287" s="422" t="s">
        <v>422</v>
      </c>
      <c r="C287" s="422">
        <v>800</v>
      </c>
      <c r="D287" s="422">
        <v>3</v>
      </c>
      <c r="E287" s="422">
        <f t="shared" si="76"/>
        <v>2400</v>
      </c>
      <c r="F287" s="422"/>
      <c r="G287" s="416">
        <v>12.79</v>
      </c>
      <c r="H287" s="417">
        <v>2.0764999999999998</v>
      </c>
      <c r="I287" s="416">
        <f t="shared" si="72"/>
        <v>26.56</v>
      </c>
      <c r="J287" s="418">
        <f t="shared" si="73"/>
        <v>63744</v>
      </c>
      <c r="K287" s="419">
        <f t="shared" si="74"/>
        <v>12748.8</v>
      </c>
      <c r="L287" s="420">
        <f t="shared" si="75"/>
        <v>76492.800000000003</v>
      </c>
      <c r="M287" s="64"/>
      <c r="N287" s="77"/>
      <c r="O287" s="18"/>
      <c r="P287" s="22"/>
      <c r="Q287" s="22"/>
      <c r="R287" s="22"/>
    </row>
    <row r="288" spans="1:18" s="20" customFormat="1" ht="63.75" hidden="1" x14ac:dyDescent="0.2">
      <c r="A288" s="461" t="s">
        <v>485</v>
      </c>
      <c r="B288" s="422" t="s">
        <v>422</v>
      </c>
      <c r="C288" s="422">
        <v>1073</v>
      </c>
      <c r="D288" s="422">
        <v>3</v>
      </c>
      <c r="E288" s="422">
        <f t="shared" si="76"/>
        <v>3219</v>
      </c>
      <c r="F288" s="422"/>
      <c r="G288" s="416">
        <v>10.81</v>
      </c>
      <c r="H288" s="417">
        <v>2.0764999999999998</v>
      </c>
      <c r="I288" s="416">
        <f t="shared" si="72"/>
        <v>22.45</v>
      </c>
      <c r="J288" s="418">
        <f t="shared" si="73"/>
        <v>72266.55</v>
      </c>
      <c r="K288" s="419">
        <f t="shared" si="74"/>
        <v>14453.31</v>
      </c>
      <c r="L288" s="420">
        <f t="shared" si="75"/>
        <v>86719.86</v>
      </c>
      <c r="M288" s="64"/>
      <c r="N288" s="77"/>
      <c r="O288" s="18"/>
      <c r="P288" s="22"/>
      <c r="Q288" s="22"/>
      <c r="R288" s="22"/>
    </row>
    <row r="289" spans="1:18" s="20" customFormat="1" ht="25.5" hidden="1" x14ac:dyDescent="0.2">
      <c r="A289" s="411" t="s">
        <v>487</v>
      </c>
      <c r="B289" s="422" t="s">
        <v>422</v>
      </c>
      <c r="C289" s="422">
        <v>1150</v>
      </c>
      <c r="D289" s="422">
        <v>3</v>
      </c>
      <c r="E289" s="422">
        <f t="shared" si="76"/>
        <v>3450</v>
      </c>
      <c r="F289" s="422"/>
      <c r="G289" s="416">
        <v>8.8800000000000008</v>
      </c>
      <c r="H289" s="417">
        <v>2.0764999999999998</v>
      </c>
      <c r="I289" s="416">
        <f t="shared" si="72"/>
        <v>18.440000000000001</v>
      </c>
      <c r="J289" s="418">
        <f t="shared" si="73"/>
        <v>63618</v>
      </c>
      <c r="K289" s="419">
        <f t="shared" si="74"/>
        <v>12723.6</v>
      </c>
      <c r="L289" s="420">
        <f t="shared" si="75"/>
        <v>76341.600000000006</v>
      </c>
      <c r="M289" s="64"/>
      <c r="N289" s="77"/>
      <c r="O289" s="18"/>
      <c r="P289" s="22"/>
      <c r="Q289" s="22"/>
      <c r="R289" s="22"/>
    </row>
    <row r="290" spans="1:18" s="20" customFormat="1" ht="25.5" hidden="1" x14ac:dyDescent="0.2">
      <c r="A290" s="411" t="s">
        <v>489</v>
      </c>
      <c r="B290" s="422" t="s">
        <v>433</v>
      </c>
      <c r="C290" s="422">
        <f>2885</f>
        <v>2885</v>
      </c>
      <c r="D290" s="422">
        <v>3</v>
      </c>
      <c r="E290" s="422">
        <f t="shared" si="76"/>
        <v>8655</v>
      </c>
      <c r="F290" s="422"/>
      <c r="G290" s="416">
        <v>1.99</v>
      </c>
      <c r="H290" s="417">
        <v>2.0764999999999998</v>
      </c>
      <c r="I290" s="416">
        <f t="shared" si="72"/>
        <v>4.13</v>
      </c>
      <c r="J290" s="418">
        <f t="shared" si="73"/>
        <v>35745.15</v>
      </c>
      <c r="K290" s="419">
        <f t="shared" si="74"/>
        <v>7149.03</v>
      </c>
      <c r="L290" s="420">
        <f t="shared" si="75"/>
        <v>42894.18</v>
      </c>
      <c r="M290" s="64"/>
      <c r="N290" s="77"/>
      <c r="O290" s="18"/>
      <c r="P290" s="22"/>
      <c r="Q290" s="22"/>
      <c r="R290" s="22"/>
    </row>
    <row r="291" spans="1:18" s="20" customFormat="1" ht="25.5" hidden="1" x14ac:dyDescent="0.2">
      <c r="A291" s="411" t="s">
        <v>491</v>
      </c>
      <c r="B291" s="422" t="s">
        <v>433</v>
      </c>
      <c r="C291" s="422">
        <v>2885</v>
      </c>
      <c r="D291" s="422">
        <v>3</v>
      </c>
      <c r="E291" s="422">
        <f t="shared" si="76"/>
        <v>8655</v>
      </c>
      <c r="F291" s="422"/>
      <c r="G291" s="416">
        <v>4.8899999999999997</v>
      </c>
      <c r="H291" s="417">
        <v>2.0764999999999998</v>
      </c>
      <c r="I291" s="416">
        <f t="shared" si="72"/>
        <v>10.15</v>
      </c>
      <c r="J291" s="418">
        <f t="shared" si="73"/>
        <v>87848.25</v>
      </c>
      <c r="K291" s="419">
        <f t="shared" si="74"/>
        <v>17569.650000000001</v>
      </c>
      <c r="L291" s="420">
        <f t="shared" si="75"/>
        <v>105417.9</v>
      </c>
      <c r="M291" s="64"/>
      <c r="N291" s="77"/>
      <c r="O291" s="18"/>
      <c r="P291" s="22"/>
      <c r="Q291" s="22"/>
      <c r="R291" s="22"/>
    </row>
    <row r="292" spans="1:18" s="20" customFormat="1" ht="38.25" hidden="1" x14ac:dyDescent="0.2">
      <c r="A292" s="411" t="s">
        <v>523</v>
      </c>
      <c r="B292" s="422" t="s">
        <v>507</v>
      </c>
      <c r="C292" s="422">
        <v>1</v>
      </c>
      <c r="D292" s="422">
        <v>90</v>
      </c>
      <c r="E292" s="422">
        <f>D292*C292</f>
        <v>90</v>
      </c>
      <c r="F292" s="422"/>
      <c r="G292" s="416">
        <v>535.76</v>
      </c>
      <c r="H292" s="435">
        <v>1.0680000000000001</v>
      </c>
      <c r="I292" s="416">
        <f t="shared" si="72"/>
        <v>572.19000000000005</v>
      </c>
      <c r="J292" s="418">
        <f t="shared" si="73"/>
        <v>51497.1</v>
      </c>
      <c r="K292" s="419">
        <f t="shared" si="74"/>
        <v>10299.42</v>
      </c>
      <c r="L292" s="420">
        <f t="shared" si="75"/>
        <v>61796.52</v>
      </c>
      <c r="M292" s="64"/>
      <c r="N292" s="77"/>
      <c r="O292" s="18"/>
      <c r="P292" s="22"/>
      <c r="Q292" s="22"/>
      <c r="R292" s="22"/>
    </row>
    <row r="293" spans="1:18" s="20" customFormat="1" ht="89.25" hidden="1" x14ac:dyDescent="0.2">
      <c r="A293" s="421" t="s">
        <v>512</v>
      </c>
      <c r="B293" s="422" t="s">
        <v>507</v>
      </c>
      <c r="C293" s="422">
        <v>7</v>
      </c>
      <c r="D293" s="422">
        <v>3</v>
      </c>
      <c r="E293" s="422">
        <f>ROUND(C293*D293,2)</f>
        <v>21</v>
      </c>
      <c r="F293" s="422"/>
      <c r="G293" s="416">
        <v>4248.72</v>
      </c>
      <c r="H293" s="417">
        <v>2.0764999999999998</v>
      </c>
      <c r="I293" s="416">
        <f t="shared" si="72"/>
        <v>8822.4699999999993</v>
      </c>
      <c r="J293" s="418">
        <f t="shared" si="73"/>
        <v>185271.87</v>
      </c>
      <c r="K293" s="419">
        <f t="shared" si="74"/>
        <v>37054.370000000003</v>
      </c>
      <c r="L293" s="420">
        <f t="shared" si="75"/>
        <v>222326.24</v>
      </c>
      <c r="M293" s="73" t="s">
        <v>409</v>
      </c>
      <c r="N293" s="77"/>
      <c r="O293" s="18"/>
      <c r="P293" s="22"/>
      <c r="Q293" s="22"/>
      <c r="R293" s="22"/>
    </row>
    <row r="294" spans="1:18" s="20" customFormat="1" ht="38.25" hidden="1" x14ac:dyDescent="0.2">
      <c r="A294" s="219" t="s">
        <v>6</v>
      </c>
      <c r="B294" s="422"/>
      <c r="C294" s="422"/>
      <c r="D294" s="422"/>
      <c r="E294" s="422"/>
      <c r="F294" s="422"/>
      <c r="G294" s="416"/>
      <c r="H294" s="417"/>
      <c r="I294" s="416"/>
      <c r="J294" s="418"/>
      <c r="K294" s="419"/>
      <c r="L294" s="420"/>
      <c r="M294" s="136">
        <v>10325319.770000001</v>
      </c>
      <c r="N294" s="77"/>
      <c r="O294" s="18"/>
      <c r="P294" s="22"/>
      <c r="Q294" s="22"/>
      <c r="R294" s="22"/>
    </row>
    <row r="295" spans="1:18" s="20" customFormat="1" ht="76.5" hidden="1" x14ac:dyDescent="0.2">
      <c r="A295" s="237" t="s">
        <v>17</v>
      </c>
      <c r="B295" s="238"/>
      <c r="C295" s="238"/>
      <c r="D295" s="238"/>
      <c r="E295" s="437"/>
      <c r="F295" s="239"/>
      <c r="G295" s="416"/>
      <c r="H295" s="417"/>
      <c r="I295" s="416"/>
      <c r="J295" s="418"/>
      <c r="K295" s="419"/>
      <c r="L295" s="420"/>
      <c r="M295" s="64"/>
      <c r="N295" s="77"/>
      <c r="O295" s="18"/>
      <c r="P295" s="22"/>
      <c r="Q295" s="22"/>
      <c r="R295" s="22"/>
    </row>
    <row r="296" spans="1:18" s="20" customFormat="1" ht="12.75" hidden="1" x14ac:dyDescent="0.2">
      <c r="A296" s="237" t="s">
        <v>441</v>
      </c>
      <c r="B296" s="240"/>
      <c r="C296" s="239"/>
      <c r="D296" s="239"/>
      <c r="E296" s="437"/>
      <c r="F296" s="239"/>
      <c r="G296" s="416"/>
      <c r="H296" s="417"/>
      <c r="I296" s="416"/>
      <c r="J296" s="418"/>
      <c r="K296" s="419"/>
      <c r="L296" s="420"/>
      <c r="M296" s="64"/>
      <c r="N296" s="77"/>
      <c r="O296" s="18"/>
      <c r="P296" s="22"/>
      <c r="Q296" s="22"/>
      <c r="R296" s="22"/>
    </row>
    <row r="297" spans="1:18" s="20" customFormat="1" ht="25.5" hidden="1" x14ac:dyDescent="0.2">
      <c r="A297" s="421" t="s">
        <v>116</v>
      </c>
      <c r="B297" s="422" t="s">
        <v>118</v>
      </c>
      <c r="C297" s="422">
        <v>1.68</v>
      </c>
      <c r="D297" s="422">
        <v>2</v>
      </c>
      <c r="E297" s="422">
        <f>D297*C297</f>
        <v>3.36</v>
      </c>
      <c r="F297" s="422"/>
      <c r="G297" s="416">
        <v>44.32</v>
      </c>
      <c r="H297" s="417">
        <v>2.0764999999999998</v>
      </c>
      <c r="I297" s="416">
        <f>ROUND(G297*H297,2)</f>
        <v>92.03</v>
      </c>
      <c r="J297" s="418">
        <f>ROUND(I297*E297,2)</f>
        <v>309.22000000000003</v>
      </c>
      <c r="K297" s="419">
        <f>ROUND(J297*0.2,2)</f>
        <v>61.84</v>
      </c>
      <c r="L297" s="420">
        <f>ROUND(J297+K297,2)</f>
        <v>371.06</v>
      </c>
      <c r="M297" s="64"/>
      <c r="N297" s="77"/>
      <c r="O297" s="18"/>
      <c r="P297" s="22"/>
      <c r="Q297" s="22"/>
      <c r="R297" s="22"/>
    </row>
    <row r="298" spans="1:18" s="20" customFormat="1" ht="25.5" hidden="1" x14ac:dyDescent="0.2">
      <c r="A298" s="421" t="s">
        <v>117</v>
      </c>
      <c r="B298" s="422" t="s">
        <v>439</v>
      </c>
      <c r="C298" s="422">
        <v>1.4999999999999999E-2</v>
      </c>
      <c r="D298" s="422">
        <v>3</v>
      </c>
      <c r="E298" s="422">
        <f>D298*C298</f>
        <v>4.4999999999999998E-2</v>
      </c>
      <c r="F298" s="422"/>
      <c r="G298" s="416">
        <v>4728.2</v>
      </c>
      <c r="H298" s="417">
        <v>2.0764999999999998</v>
      </c>
      <c r="I298" s="416">
        <f>ROUND(G298*H298,2)</f>
        <v>9818.11</v>
      </c>
      <c r="J298" s="418">
        <f>ROUND(I298*E298,2)</f>
        <v>441.81</v>
      </c>
      <c r="K298" s="419">
        <f>ROUND(J298*0.2,2)</f>
        <v>88.36</v>
      </c>
      <c r="L298" s="420">
        <f>ROUND(J298+K298,2)</f>
        <v>530.16999999999996</v>
      </c>
      <c r="M298" s="64"/>
      <c r="N298" s="77">
        <v>238.66</v>
      </c>
      <c r="O298" s="18">
        <v>238.43</v>
      </c>
      <c r="P298" s="22"/>
      <c r="Q298" s="22"/>
      <c r="R298" s="22"/>
    </row>
    <row r="299" spans="1:18" s="20" customFormat="1" ht="51" hidden="1" x14ac:dyDescent="0.2">
      <c r="A299" s="411" t="s">
        <v>493</v>
      </c>
      <c r="B299" s="425" t="s">
        <v>433</v>
      </c>
      <c r="C299" s="425">
        <v>168</v>
      </c>
      <c r="D299" s="425">
        <v>1</v>
      </c>
      <c r="E299" s="425">
        <f>ROUND(C299*D299,2)</f>
        <v>168</v>
      </c>
      <c r="F299" s="422"/>
      <c r="G299" s="416">
        <v>83.24</v>
      </c>
      <c r="H299" s="417">
        <v>2.0764999999999998</v>
      </c>
      <c r="I299" s="416">
        <f>ROUND(G299*H299,2)</f>
        <v>172.85</v>
      </c>
      <c r="J299" s="418">
        <f>ROUND(I299*E299,2)</f>
        <v>29038.799999999999</v>
      </c>
      <c r="K299" s="419">
        <f>ROUND(J299*0.2,2)</f>
        <v>5807.76</v>
      </c>
      <c r="L299" s="420">
        <f>ROUND(J299+K299,2)</f>
        <v>34846.559999999998</v>
      </c>
      <c r="M299" s="64"/>
      <c r="N299" s="77">
        <v>341.02</v>
      </c>
      <c r="O299" s="18">
        <v>681.36</v>
      </c>
      <c r="P299" s="22"/>
      <c r="Q299" s="22"/>
      <c r="R299" s="22"/>
    </row>
    <row r="300" spans="1:18" s="20" customFormat="1" ht="12.75" hidden="1" x14ac:dyDescent="0.2">
      <c r="A300" s="439" t="s">
        <v>471</v>
      </c>
      <c r="B300" s="425" t="s">
        <v>433</v>
      </c>
      <c r="C300" s="425">
        <f>C299</f>
        <v>168</v>
      </c>
      <c r="D300" s="425">
        <v>2</v>
      </c>
      <c r="E300" s="425">
        <f>ROUND(C300*D300,2)</f>
        <v>336</v>
      </c>
      <c r="F300" s="422"/>
      <c r="G300" s="416">
        <v>2.89</v>
      </c>
      <c r="H300" s="417">
        <v>2.0764999999999998</v>
      </c>
      <c r="I300" s="416">
        <f>ROUND(G300*H300,2)</f>
        <v>6</v>
      </c>
      <c r="J300" s="418">
        <f>ROUND(I300*E300,2)</f>
        <v>2016</v>
      </c>
      <c r="K300" s="419">
        <f>ROUND(J300*0.2,2)</f>
        <v>403.2</v>
      </c>
      <c r="L300" s="420">
        <f>ROUND(J300+K300,2)</f>
        <v>2419.1999999999998</v>
      </c>
      <c r="M300" s="147">
        <v>33878.49</v>
      </c>
      <c r="N300" s="77"/>
      <c r="O300" s="18"/>
      <c r="P300" s="22"/>
      <c r="Q300" s="22"/>
      <c r="R300" s="22"/>
    </row>
    <row r="301" spans="1:18" s="20" customFormat="1" ht="12.75" hidden="1" x14ac:dyDescent="0.2">
      <c r="A301" s="237" t="s">
        <v>530</v>
      </c>
      <c r="B301" s="422"/>
      <c r="C301" s="422"/>
      <c r="D301" s="422"/>
      <c r="E301" s="422"/>
      <c r="F301" s="422"/>
      <c r="G301" s="416"/>
      <c r="H301" s="417"/>
      <c r="I301" s="416"/>
      <c r="J301" s="418"/>
      <c r="K301" s="419"/>
      <c r="L301" s="420"/>
      <c r="M301" s="64"/>
      <c r="N301" s="77"/>
      <c r="O301" s="18"/>
      <c r="P301" s="22"/>
      <c r="Q301" s="22"/>
      <c r="R301" s="22"/>
    </row>
    <row r="302" spans="1:18" s="20" customFormat="1" ht="12.75" hidden="1" x14ac:dyDescent="0.2">
      <c r="A302" s="421" t="s">
        <v>119</v>
      </c>
      <c r="B302" s="422" t="s">
        <v>513</v>
      </c>
      <c r="C302" s="422">
        <v>2.1000000000000001E-2</v>
      </c>
      <c r="D302" s="422">
        <v>6</v>
      </c>
      <c r="E302" s="422">
        <f>D302*C302</f>
        <v>0.126</v>
      </c>
      <c r="F302" s="422"/>
      <c r="G302" s="416">
        <v>7314.22</v>
      </c>
      <c r="H302" s="417">
        <v>2.0764999999999998</v>
      </c>
      <c r="I302" s="416">
        <f>ROUND(G302*H302,2)</f>
        <v>15187.98</v>
      </c>
      <c r="J302" s="418">
        <f>ROUND(I302*E302,2)</f>
        <v>1913.69</v>
      </c>
      <c r="K302" s="419">
        <f>ROUND(J302*0.2,2)</f>
        <v>382.74</v>
      </c>
      <c r="L302" s="420">
        <f>ROUND(J302+K302,2)</f>
        <v>2296.4299999999998</v>
      </c>
      <c r="M302" s="64"/>
      <c r="N302" s="77"/>
      <c r="O302" s="18"/>
      <c r="P302" s="22"/>
      <c r="Q302" s="22"/>
      <c r="R302" s="22"/>
    </row>
    <row r="303" spans="1:18" s="20" customFormat="1" ht="51" hidden="1" x14ac:dyDescent="0.2">
      <c r="A303" s="421" t="s">
        <v>120</v>
      </c>
      <c r="B303" s="422" t="s">
        <v>433</v>
      </c>
      <c r="C303" s="422">
        <v>168</v>
      </c>
      <c r="D303" s="422">
        <v>6</v>
      </c>
      <c r="E303" s="422">
        <f>D303*C303</f>
        <v>1008</v>
      </c>
      <c r="F303" s="422"/>
      <c r="G303" s="416">
        <v>1.99</v>
      </c>
      <c r="H303" s="417">
        <v>2.0764999999999998</v>
      </c>
      <c r="I303" s="416">
        <f>ROUND(G303*H303,2)</f>
        <v>4.13</v>
      </c>
      <c r="J303" s="418">
        <f>ROUND(I303*E303,2)</f>
        <v>4163.04</v>
      </c>
      <c r="K303" s="419">
        <f>ROUND(J303*0.2,2)</f>
        <v>832.61</v>
      </c>
      <c r="L303" s="420">
        <f>ROUND(J303+K303,2)</f>
        <v>4995.6499999999996</v>
      </c>
      <c r="M303" s="64"/>
      <c r="N303" s="77"/>
      <c r="O303" s="18"/>
      <c r="P303" s="22"/>
      <c r="Q303" s="22"/>
      <c r="R303" s="22"/>
    </row>
    <row r="304" spans="1:18" s="20" customFormat="1" ht="38.25" hidden="1" x14ac:dyDescent="0.2">
      <c r="A304" s="237" t="s">
        <v>443</v>
      </c>
      <c r="B304" s="422"/>
      <c r="C304" s="422"/>
      <c r="D304" s="422"/>
      <c r="E304" s="422"/>
      <c r="F304" s="422"/>
      <c r="G304" s="416"/>
      <c r="H304" s="417"/>
      <c r="I304" s="416"/>
      <c r="J304" s="418"/>
      <c r="K304" s="419"/>
      <c r="L304" s="420"/>
      <c r="M304" s="145">
        <v>4318.3599999999997</v>
      </c>
      <c r="N304" s="77"/>
      <c r="O304" s="18"/>
      <c r="P304" s="22"/>
      <c r="Q304" s="22"/>
      <c r="R304" s="22"/>
    </row>
    <row r="305" spans="1:18" s="20" customFormat="1" ht="51" hidden="1" x14ac:dyDescent="0.2">
      <c r="A305" s="421" t="s">
        <v>144</v>
      </c>
      <c r="B305" s="422" t="s">
        <v>422</v>
      </c>
      <c r="C305" s="422">
        <v>3</v>
      </c>
      <c r="D305" s="422">
        <v>2</v>
      </c>
      <c r="E305" s="422">
        <f t="shared" ref="E305:E311" si="77">D305*C305</f>
        <v>6</v>
      </c>
      <c r="F305" s="422"/>
      <c r="G305" s="416">
        <v>964.56</v>
      </c>
      <c r="H305" s="417">
        <v>2.0764999999999998</v>
      </c>
      <c r="I305" s="416">
        <f t="shared" ref="I305:I311" si="78">ROUND(G305*H305,2)</f>
        <v>2002.91</v>
      </c>
      <c r="J305" s="418">
        <f t="shared" ref="J305:J311" si="79">ROUND(I305*E305,2)</f>
        <v>12017.46</v>
      </c>
      <c r="K305" s="419">
        <f t="shared" ref="K305:K311" si="80">ROUND(J305*0.2,2)</f>
        <v>2403.4899999999998</v>
      </c>
      <c r="L305" s="420">
        <f t="shared" ref="L305:L311" si="81">ROUND(J305+K305,2)</f>
        <v>14420.95</v>
      </c>
      <c r="M305" s="64"/>
      <c r="N305" s="77"/>
      <c r="O305" s="18"/>
      <c r="P305" s="22"/>
      <c r="Q305" s="22"/>
      <c r="R305" s="22"/>
    </row>
    <row r="306" spans="1:18" s="20" customFormat="1" ht="25.5" hidden="1" x14ac:dyDescent="0.2">
      <c r="A306" s="411" t="s">
        <v>121</v>
      </c>
      <c r="B306" s="422" t="s">
        <v>422</v>
      </c>
      <c r="C306" s="422">
        <v>2</v>
      </c>
      <c r="D306" s="422">
        <v>6</v>
      </c>
      <c r="E306" s="422">
        <f t="shared" si="77"/>
        <v>12</v>
      </c>
      <c r="F306" s="422"/>
      <c r="G306" s="416">
        <v>130.31</v>
      </c>
      <c r="H306" s="417">
        <v>10.5305</v>
      </c>
      <c r="I306" s="416">
        <f t="shared" si="78"/>
        <v>1372.23</v>
      </c>
      <c r="J306" s="418">
        <f t="shared" si="79"/>
        <v>16466.759999999998</v>
      </c>
      <c r="K306" s="419">
        <f t="shared" si="80"/>
        <v>3293.35</v>
      </c>
      <c r="L306" s="420">
        <f t="shared" si="81"/>
        <v>19760.11</v>
      </c>
      <c r="M306" s="64"/>
      <c r="N306" s="77">
        <v>9155.9500000000007</v>
      </c>
      <c r="O306" s="18">
        <v>4573.5</v>
      </c>
      <c r="P306" s="22"/>
      <c r="Q306" s="22"/>
      <c r="R306" s="22"/>
    </row>
    <row r="307" spans="1:18" s="20" customFormat="1" ht="38.25" hidden="1" x14ac:dyDescent="0.2">
      <c r="A307" s="411" t="s">
        <v>423</v>
      </c>
      <c r="B307" s="422" t="s">
        <v>422</v>
      </c>
      <c r="C307" s="422">
        <v>2</v>
      </c>
      <c r="D307" s="422">
        <v>6</v>
      </c>
      <c r="E307" s="422">
        <f t="shared" si="77"/>
        <v>12</v>
      </c>
      <c r="F307" s="422"/>
      <c r="G307" s="416">
        <v>18.62</v>
      </c>
      <c r="H307" s="417">
        <v>10.5305</v>
      </c>
      <c r="I307" s="416">
        <f t="shared" si="78"/>
        <v>196.08</v>
      </c>
      <c r="J307" s="418">
        <f t="shared" si="79"/>
        <v>2352.96</v>
      </c>
      <c r="K307" s="419">
        <f t="shared" si="80"/>
        <v>470.59</v>
      </c>
      <c r="L307" s="420">
        <f t="shared" si="81"/>
        <v>2823.55</v>
      </c>
      <c r="M307" s="64"/>
      <c r="N307" s="77">
        <v>8953.6299999999992</v>
      </c>
      <c r="O307" s="18">
        <v>26971.200000000001</v>
      </c>
      <c r="P307" s="22"/>
      <c r="Q307" s="22"/>
      <c r="R307" s="22"/>
    </row>
    <row r="308" spans="1:18" s="20" customFormat="1" ht="51" hidden="1" x14ac:dyDescent="0.2">
      <c r="A308" s="411" t="s">
        <v>424</v>
      </c>
      <c r="B308" s="422" t="s">
        <v>422</v>
      </c>
      <c r="C308" s="422">
        <v>1</v>
      </c>
      <c r="D308" s="422">
        <v>2</v>
      </c>
      <c r="E308" s="422">
        <v>2</v>
      </c>
      <c r="F308" s="422"/>
      <c r="G308" s="416">
        <v>161.86000000000001</v>
      </c>
      <c r="H308" s="417">
        <v>10.5305</v>
      </c>
      <c r="I308" s="416">
        <f t="shared" si="78"/>
        <v>1704.47</v>
      </c>
      <c r="J308" s="418">
        <f t="shared" si="79"/>
        <v>3408.94</v>
      </c>
      <c r="K308" s="419">
        <f t="shared" si="80"/>
        <v>681.79</v>
      </c>
      <c r="L308" s="420">
        <f t="shared" si="81"/>
        <v>4090.73</v>
      </c>
      <c r="M308" s="64"/>
      <c r="N308" s="77">
        <v>1279.3700000000001</v>
      </c>
      <c r="O308" s="18">
        <v>262.45999999999998</v>
      </c>
      <c r="P308" s="22"/>
      <c r="Q308" s="22"/>
      <c r="R308" s="22"/>
    </row>
    <row r="309" spans="1:18" s="20" customFormat="1" ht="38.25" hidden="1" x14ac:dyDescent="0.2">
      <c r="A309" s="411" t="s">
        <v>122</v>
      </c>
      <c r="B309" s="422" t="s">
        <v>422</v>
      </c>
      <c r="C309" s="422">
        <v>1</v>
      </c>
      <c r="D309" s="422">
        <v>2</v>
      </c>
      <c r="E309" s="422">
        <v>2</v>
      </c>
      <c r="F309" s="422"/>
      <c r="G309" s="416">
        <v>501.73</v>
      </c>
      <c r="H309" s="417">
        <v>10.5305</v>
      </c>
      <c r="I309" s="416">
        <f t="shared" si="78"/>
        <v>5283.47</v>
      </c>
      <c r="J309" s="418">
        <f t="shared" si="79"/>
        <v>10566.94</v>
      </c>
      <c r="K309" s="419">
        <f t="shared" si="80"/>
        <v>2113.39</v>
      </c>
      <c r="L309" s="420">
        <f t="shared" si="81"/>
        <v>12680.33</v>
      </c>
      <c r="M309" s="64"/>
      <c r="N309" s="77">
        <v>1853.5800000000002</v>
      </c>
      <c r="O309" s="18">
        <v>1325.04</v>
      </c>
      <c r="P309" s="22"/>
      <c r="Q309" s="22"/>
      <c r="R309" s="22"/>
    </row>
    <row r="310" spans="1:18" s="20" customFormat="1" ht="51" hidden="1" x14ac:dyDescent="0.2">
      <c r="A310" s="411" t="s">
        <v>123</v>
      </c>
      <c r="B310" s="422" t="s">
        <v>422</v>
      </c>
      <c r="C310" s="422">
        <v>2</v>
      </c>
      <c r="D310" s="422">
        <v>6</v>
      </c>
      <c r="E310" s="422">
        <f t="shared" si="77"/>
        <v>12</v>
      </c>
      <c r="F310" s="422"/>
      <c r="G310" s="416">
        <v>135.63999999999999</v>
      </c>
      <c r="H310" s="417">
        <v>10.5305</v>
      </c>
      <c r="I310" s="416">
        <f t="shared" si="78"/>
        <v>1428.36</v>
      </c>
      <c r="J310" s="418">
        <f t="shared" si="79"/>
        <v>17140.32</v>
      </c>
      <c r="K310" s="419">
        <f t="shared" si="80"/>
        <v>3428.06</v>
      </c>
      <c r="L310" s="420">
        <f t="shared" si="81"/>
        <v>20568.38</v>
      </c>
      <c r="M310" s="73" t="s">
        <v>533</v>
      </c>
      <c r="N310" s="77">
        <v>5745.67</v>
      </c>
      <c r="O310" s="18">
        <v>9353.82</v>
      </c>
      <c r="P310" s="22"/>
      <c r="Q310" s="22"/>
      <c r="R310" s="22"/>
    </row>
    <row r="311" spans="1:18" s="20" customFormat="1" ht="38.25" hidden="1" x14ac:dyDescent="0.2">
      <c r="A311" s="421" t="s">
        <v>124</v>
      </c>
      <c r="B311" s="422" t="s">
        <v>91</v>
      </c>
      <c r="C311" s="422">
        <v>1415</v>
      </c>
      <c r="D311" s="422">
        <v>1</v>
      </c>
      <c r="E311" s="422">
        <f t="shared" si="77"/>
        <v>1415</v>
      </c>
      <c r="F311" s="422">
        <v>8.52</v>
      </c>
      <c r="G311" s="416">
        <f>F311/1.2</f>
        <v>7.1</v>
      </c>
      <c r="H311" s="417">
        <v>1.1898</v>
      </c>
      <c r="I311" s="416">
        <f t="shared" si="78"/>
        <v>8.4499999999999993</v>
      </c>
      <c r="J311" s="418">
        <f t="shared" si="79"/>
        <v>11956.75</v>
      </c>
      <c r="K311" s="419">
        <f t="shared" si="80"/>
        <v>2391.35</v>
      </c>
      <c r="L311" s="420">
        <f t="shared" si="81"/>
        <v>14348.1</v>
      </c>
      <c r="M311" s="146">
        <v>92813.099999999977</v>
      </c>
      <c r="N311" s="77">
        <v>9319.9</v>
      </c>
      <c r="O311" s="18">
        <v>4876.5600000000004</v>
      </c>
      <c r="P311" s="22"/>
      <c r="Q311" s="22"/>
      <c r="R311" s="22"/>
    </row>
    <row r="312" spans="1:18" s="20" customFormat="1" ht="76.5" hidden="1" x14ac:dyDescent="0.2">
      <c r="A312" s="237" t="s">
        <v>18</v>
      </c>
      <c r="B312" s="238"/>
      <c r="C312" s="238"/>
      <c r="D312" s="238"/>
      <c r="E312" s="422"/>
      <c r="F312" s="422"/>
      <c r="G312" s="416"/>
      <c r="H312" s="417"/>
      <c r="I312" s="416"/>
      <c r="J312" s="418"/>
      <c r="K312" s="419"/>
      <c r="L312" s="420"/>
      <c r="M312" s="64"/>
      <c r="N312" s="77">
        <v>4216.3899999999994</v>
      </c>
      <c r="O312" s="18">
        <v>27241.89</v>
      </c>
      <c r="P312" s="22"/>
      <c r="Q312" s="22"/>
      <c r="R312" s="22"/>
    </row>
    <row r="313" spans="1:18" s="20" customFormat="1" ht="12.75" hidden="1" x14ac:dyDescent="0.2">
      <c r="A313" s="237" t="s">
        <v>445</v>
      </c>
      <c r="B313" s="422"/>
      <c r="C313" s="422"/>
      <c r="D313" s="422"/>
      <c r="E313" s="422"/>
      <c r="F313" s="422"/>
      <c r="G313" s="416"/>
      <c r="H313" s="417"/>
      <c r="I313" s="416"/>
      <c r="J313" s="418"/>
      <c r="K313" s="419"/>
      <c r="L313" s="420"/>
      <c r="M313" s="64"/>
      <c r="N313" s="77"/>
      <c r="O313" s="18"/>
      <c r="P313" s="22"/>
      <c r="Q313" s="22"/>
      <c r="R313" s="22"/>
    </row>
    <row r="314" spans="1:18" s="20" customFormat="1" ht="25.5" hidden="1" x14ac:dyDescent="0.2">
      <c r="A314" s="421" t="s">
        <v>116</v>
      </c>
      <c r="B314" s="422" t="s">
        <v>118</v>
      </c>
      <c r="C314" s="422">
        <v>1.6379999999999999</v>
      </c>
      <c r="D314" s="422">
        <v>2</v>
      </c>
      <c r="E314" s="422">
        <f>D314*C314</f>
        <v>3.2759999999999998</v>
      </c>
      <c r="F314" s="422">
        <v>38.54</v>
      </c>
      <c r="G314" s="416">
        <v>44.32</v>
      </c>
      <c r="H314" s="417">
        <v>2.0764999999999998</v>
      </c>
      <c r="I314" s="416">
        <f>ROUND(G314*H314,2)</f>
        <v>92.03</v>
      </c>
      <c r="J314" s="418">
        <f>ROUND(I314*E314,2)</f>
        <v>301.49</v>
      </c>
      <c r="K314" s="419">
        <f>ROUND(J314*0.2,2)</f>
        <v>60.3</v>
      </c>
      <c r="L314" s="420">
        <f>ROUND(J314+K314,2)</f>
        <v>361.79</v>
      </c>
      <c r="M314" s="64"/>
      <c r="N314" s="77"/>
      <c r="O314" s="18"/>
      <c r="P314" s="22"/>
      <c r="Q314" s="22"/>
      <c r="R314" s="22"/>
    </row>
    <row r="315" spans="1:18" s="20" customFormat="1" ht="25.5" hidden="1" x14ac:dyDescent="0.2">
      <c r="A315" s="421" t="s">
        <v>117</v>
      </c>
      <c r="B315" s="422" t="s">
        <v>439</v>
      </c>
      <c r="C315" s="422">
        <v>0.32500000000000001</v>
      </c>
      <c r="D315" s="422">
        <v>3</v>
      </c>
      <c r="E315" s="422">
        <f>D315*C315</f>
        <v>0.97500000000000009</v>
      </c>
      <c r="F315" s="422">
        <v>4111.5600000000004</v>
      </c>
      <c r="G315" s="416">
        <v>4728.2</v>
      </c>
      <c r="H315" s="417">
        <v>2.0764999999999998</v>
      </c>
      <c r="I315" s="416">
        <f>ROUND(G315*H315,2)</f>
        <v>9818.11</v>
      </c>
      <c r="J315" s="418">
        <f>ROUND(I315*E315,2)</f>
        <v>9572.66</v>
      </c>
      <c r="K315" s="419">
        <f>ROUND(J315*0.2,2)</f>
        <v>1914.53</v>
      </c>
      <c r="L315" s="420">
        <f>ROUND(J315+K315,2)</f>
        <v>11487.19</v>
      </c>
      <c r="M315" s="64"/>
      <c r="N315" s="77">
        <v>232.69</v>
      </c>
      <c r="O315" s="18">
        <v>232.46</v>
      </c>
      <c r="P315" s="22"/>
      <c r="Q315" s="22"/>
      <c r="R315" s="22"/>
    </row>
    <row r="316" spans="1:18" s="20" customFormat="1" ht="51" hidden="1" x14ac:dyDescent="0.2">
      <c r="A316" s="411" t="s">
        <v>493</v>
      </c>
      <c r="B316" s="422" t="s">
        <v>433</v>
      </c>
      <c r="C316" s="422">
        <v>164</v>
      </c>
      <c r="D316" s="422">
        <v>1</v>
      </c>
      <c r="E316" s="422">
        <f>ROUND(C316*D316,2)</f>
        <v>164</v>
      </c>
      <c r="F316" s="422"/>
      <c r="G316" s="416">
        <v>83.24</v>
      </c>
      <c r="H316" s="417">
        <v>2.0764999999999998</v>
      </c>
      <c r="I316" s="416">
        <f>ROUND(G316*H316,2)</f>
        <v>172.85</v>
      </c>
      <c r="J316" s="418">
        <f>ROUND(I316*E316,2)</f>
        <v>28347.4</v>
      </c>
      <c r="K316" s="419">
        <f>ROUND(J316*0.2,2)</f>
        <v>5669.48</v>
      </c>
      <c r="L316" s="420">
        <f>ROUND(J316+K316,2)</f>
        <v>34016.879999999997</v>
      </c>
      <c r="M316" s="64"/>
      <c r="N316" s="77">
        <v>7388.56</v>
      </c>
      <c r="O316" s="18">
        <v>14762.71</v>
      </c>
      <c r="P316" s="22"/>
      <c r="Q316" s="22"/>
      <c r="R316" s="22"/>
    </row>
    <row r="317" spans="1:18" s="20" customFormat="1" ht="12.75" hidden="1" x14ac:dyDescent="0.2">
      <c r="A317" s="439" t="s">
        <v>471</v>
      </c>
      <c r="B317" s="422" t="s">
        <v>433</v>
      </c>
      <c r="C317" s="422">
        <v>164</v>
      </c>
      <c r="D317" s="422">
        <v>2</v>
      </c>
      <c r="E317" s="422">
        <f>ROUND(C317*D317,2)</f>
        <v>328</v>
      </c>
      <c r="F317" s="422"/>
      <c r="G317" s="416">
        <v>2.89</v>
      </c>
      <c r="H317" s="417">
        <v>2.0764999999999998</v>
      </c>
      <c r="I317" s="416">
        <f>ROUND(G317*H317,2)</f>
        <v>6</v>
      </c>
      <c r="J317" s="418">
        <f>ROUND(I317*E317,2)</f>
        <v>1968</v>
      </c>
      <c r="K317" s="419">
        <f>ROUND(J317*0.2,2)</f>
        <v>393.6</v>
      </c>
      <c r="L317" s="420">
        <f>ROUND(J317+K317,2)</f>
        <v>2361.6</v>
      </c>
      <c r="M317" s="64"/>
      <c r="N317" s="77"/>
      <c r="O317" s="18"/>
      <c r="P317" s="22"/>
      <c r="Q317" s="22"/>
      <c r="R317" s="22"/>
    </row>
    <row r="318" spans="1:18" s="20" customFormat="1" ht="51" hidden="1" x14ac:dyDescent="0.2">
      <c r="A318" s="421" t="s">
        <v>144</v>
      </c>
      <c r="B318" s="422" t="s">
        <v>422</v>
      </c>
      <c r="C318" s="422">
        <v>3</v>
      </c>
      <c r="D318" s="422">
        <v>2</v>
      </c>
      <c r="E318" s="422">
        <f>D318*C318</f>
        <v>6</v>
      </c>
      <c r="F318" s="422"/>
      <c r="G318" s="416">
        <v>964.56</v>
      </c>
      <c r="H318" s="417">
        <v>2.0764999999999998</v>
      </c>
      <c r="I318" s="416">
        <f>ROUND(G318*H318,2)</f>
        <v>2002.91</v>
      </c>
      <c r="J318" s="418">
        <f>ROUND(I318*E318,2)</f>
        <v>12017.46</v>
      </c>
      <c r="K318" s="419">
        <f>ROUND(J318*0.2,2)</f>
        <v>2403.4899999999998</v>
      </c>
      <c r="L318" s="420">
        <f>ROUND(J318+K318,2)</f>
        <v>14420.95</v>
      </c>
      <c r="M318" s="142">
        <v>68408.149999999994</v>
      </c>
      <c r="N318" s="77"/>
      <c r="O318" s="18"/>
      <c r="P318" s="22"/>
      <c r="Q318" s="22"/>
      <c r="R318" s="22"/>
    </row>
    <row r="319" spans="1:18" s="20" customFormat="1" ht="12.75" hidden="1" x14ac:dyDescent="0.2">
      <c r="A319" s="237" t="s">
        <v>530</v>
      </c>
      <c r="B319" s="422"/>
      <c r="C319" s="422"/>
      <c r="D319" s="422"/>
      <c r="E319" s="422"/>
      <c r="F319" s="422"/>
      <c r="G319" s="416"/>
      <c r="H319" s="417"/>
      <c r="I319" s="416"/>
      <c r="J319" s="418"/>
      <c r="K319" s="462"/>
      <c r="L319" s="420"/>
      <c r="M319" s="64"/>
      <c r="N319" s="77"/>
      <c r="O319" s="18"/>
      <c r="P319" s="22"/>
      <c r="Q319" s="22"/>
      <c r="R319" s="22"/>
    </row>
    <row r="320" spans="1:18" s="20" customFormat="1" ht="12.75" hidden="1" x14ac:dyDescent="0.2">
      <c r="A320" s="421" t="s">
        <v>119</v>
      </c>
      <c r="B320" s="422" t="s">
        <v>513</v>
      </c>
      <c r="C320" s="422">
        <v>0.32500000000000001</v>
      </c>
      <c r="D320" s="422">
        <v>3</v>
      </c>
      <c r="E320" s="422">
        <f>D320*C320</f>
        <v>0.97500000000000009</v>
      </c>
      <c r="F320" s="422"/>
      <c r="G320" s="416">
        <v>7314.22</v>
      </c>
      <c r="H320" s="417">
        <v>2.0764999999999998</v>
      </c>
      <c r="I320" s="416">
        <f>ROUND(G320*H320,2)</f>
        <v>15187.98</v>
      </c>
      <c r="J320" s="418">
        <f>ROUND(I320*E320,2)</f>
        <v>14808.28</v>
      </c>
      <c r="K320" s="419">
        <f>ROUND(J320*0.2,2)</f>
        <v>2961.66</v>
      </c>
      <c r="L320" s="420">
        <f>ROUND(J320+K320,2)</f>
        <v>17769.939999999999</v>
      </c>
      <c r="M320" s="64"/>
      <c r="N320" s="77"/>
      <c r="O320" s="18"/>
      <c r="P320" s="22"/>
      <c r="Q320" s="22"/>
      <c r="R320" s="22"/>
    </row>
    <row r="321" spans="1:18" s="20" customFormat="1" ht="51" hidden="1" x14ac:dyDescent="0.2">
      <c r="A321" s="421" t="s">
        <v>120</v>
      </c>
      <c r="B321" s="422" t="s">
        <v>433</v>
      </c>
      <c r="C321" s="422">
        <v>164</v>
      </c>
      <c r="D321" s="422">
        <v>3</v>
      </c>
      <c r="E321" s="422">
        <f>D321*C321</f>
        <v>492</v>
      </c>
      <c r="F321" s="422"/>
      <c r="G321" s="416">
        <v>1.99</v>
      </c>
      <c r="H321" s="417">
        <v>2.0764999999999998</v>
      </c>
      <c r="I321" s="416">
        <f>ROUND(G321*H321,2)</f>
        <v>4.13</v>
      </c>
      <c r="J321" s="418">
        <f>ROUND(I321*E321,2)</f>
        <v>2031.96</v>
      </c>
      <c r="K321" s="419">
        <f>ROUND(J321*0.2,2)</f>
        <v>406.39</v>
      </c>
      <c r="L321" s="420">
        <f>ROUND(J321+K321,2)</f>
        <v>2438.35</v>
      </c>
      <c r="M321" s="136">
        <v>23919.13</v>
      </c>
      <c r="N321" s="77"/>
      <c r="O321" s="18"/>
      <c r="P321" s="22"/>
      <c r="Q321" s="22"/>
      <c r="R321" s="22"/>
    </row>
    <row r="322" spans="1:18" s="20" customFormat="1" ht="25.5" hidden="1" x14ac:dyDescent="0.2">
      <c r="A322" s="219" t="s">
        <v>401</v>
      </c>
      <c r="B322" s="231"/>
      <c r="C322" s="231"/>
      <c r="D322" s="231"/>
      <c r="E322" s="231"/>
      <c r="F322" s="231"/>
      <c r="G322" s="231"/>
      <c r="H322" s="231"/>
      <c r="I322" s="420"/>
      <c r="J322" s="418"/>
      <c r="K322" s="462"/>
      <c r="L322" s="420"/>
      <c r="M322" s="136"/>
      <c r="N322" s="77"/>
      <c r="O322" s="18"/>
      <c r="P322" s="22"/>
      <c r="Q322" s="22"/>
      <c r="R322" s="22"/>
    </row>
    <row r="323" spans="1:18" s="20" customFormat="1" ht="38.25" hidden="1" x14ac:dyDescent="0.2">
      <c r="A323" s="219" t="s">
        <v>48</v>
      </c>
      <c r="B323" s="231"/>
      <c r="C323" s="231"/>
      <c r="D323" s="231"/>
      <c r="E323" s="231"/>
      <c r="F323" s="231"/>
      <c r="G323" s="231"/>
      <c r="H323" s="231"/>
      <c r="I323" s="420"/>
      <c r="J323" s="418"/>
      <c r="K323" s="462"/>
      <c r="L323" s="420"/>
      <c r="M323" s="136"/>
      <c r="N323" s="77"/>
      <c r="O323" s="18"/>
      <c r="P323" s="22"/>
      <c r="Q323" s="22"/>
      <c r="R323" s="22"/>
    </row>
    <row r="324" spans="1:18" s="20" customFormat="1" ht="153" hidden="1" x14ac:dyDescent="0.2">
      <c r="A324" s="421" t="s">
        <v>368</v>
      </c>
      <c r="B324" s="422" t="s">
        <v>354</v>
      </c>
      <c r="C324" s="422">
        <v>0.97</v>
      </c>
      <c r="D324" s="422">
        <v>1</v>
      </c>
      <c r="E324" s="422">
        <v>0.97</v>
      </c>
      <c r="F324" s="422"/>
      <c r="G324" s="426">
        <v>232.79166666666669</v>
      </c>
      <c r="H324" s="422">
        <v>13.6172</v>
      </c>
      <c r="I324" s="416">
        <f t="shared" ref="I324:I329" si="82">ROUND(G324*H324,2)</f>
        <v>3169.97</v>
      </c>
      <c r="J324" s="418">
        <f t="shared" ref="J324:J329" si="83">ROUND(I324*E324,2)</f>
        <v>3074.87</v>
      </c>
      <c r="K324" s="419">
        <f t="shared" ref="K324:K329" si="84">ROUND(J324*0.2,2)</f>
        <v>614.97</v>
      </c>
      <c r="L324" s="420">
        <f t="shared" ref="L324:L329" si="85">ROUND(J324+K324,2)</f>
        <v>3689.84</v>
      </c>
      <c r="M324" s="136"/>
      <c r="N324" s="77"/>
      <c r="O324" s="18"/>
      <c r="P324" s="22"/>
      <c r="Q324" s="22"/>
      <c r="R324" s="22"/>
    </row>
    <row r="325" spans="1:18" s="20" customFormat="1" ht="51" hidden="1" x14ac:dyDescent="0.2">
      <c r="A325" s="421" t="s">
        <v>356</v>
      </c>
      <c r="B325" s="422" t="s">
        <v>355</v>
      </c>
      <c r="C325" s="422">
        <v>6.3049999999999995E-2</v>
      </c>
      <c r="D325" s="422">
        <v>1</v>
      </c>
      <c r="E325" s="422">
        <v>6.3049999999999995E-2</v>
      </c>
      <c r="F325" s="422"/>
      <c r="G325" s="426">
        <v>16413.416666666668</v>
      </c>
      <c r="H325" s="422">
        <v>13.6172</v>
      </c>
      <c r="I325" s="416">
        <f t="shared" si="82"/>
        <v>223504.78</v>
      </c>
      <c r="J325" s="418">
        <f t="shared" si="83"/>
        <v>14091.98</v>
      </c>
      <c r="K325" s="419">
        <f t="shared" si="84"/>
        <v>2818.4</v>
      </c>
      <c r="L325" s="420">
        <f t="shared" si="85"/>
        <v>16910.38</v>
      </c>
      <c r="M325" s="136"/>
      <c r="N325" s="77"/>
      <c r="O325" s="18"/>
      <c r="P325" s="22"/>
      <c r="Q325" s="22"/>
      <c r="R325" s="22"/>
    </row>
    <row r="326" spans="1:18" s="20" customFormat="1" ht="51" hidden="1" x14ac:dyDescent="0.2">
      <c r="A326" s="421" t="s">
        <v>357</v>
      </c>
      <c r="B326" s="422" t="s">
        <v>355</v>
      </c>
      <c r="C326" s="422">
        <v>2.4250000000000001E-2</v>
      </c>
      <c r="D326" s="422">
        <v>1</v>
      </c>
      <c r="E326" s="422">
        <v>2.4250000000000001E-2</v>
      </c>
      <c r="F326" s="422"/>
      <c r="G326" s="426">
        <v>364.85</v>
      </c>
      <c r="H326" s="422">
        <v>13.6172</v>
      </c>
      <c r="I326" s="416">
        <f t="shared" si="82"/>
        <v>4968.24</v>
      </c>
      <c r="J326" s="418">
        <f t="shared" si="83"/>
        <v>120.48</v>
      </c>
      <c r="K326" s="419">
        <f t="shared" si="84"/>
        <v>24.1</v>
      </c>
      <c r="L326" s="420">
        <f t="shared" si="85"/>
        <v>144.58000000000001</v>
      </c>
      <c r="M326" s="136"/>
      <c r="N326" s="77"/>
      <c r="O326" s="18"/>
      <c r="P326" s="22"/>
      <c r="Q326" s="22"/>
      <c r="R326" s="22"/>
    </row>
    <row r="327" spans="1:18" s="20" customFormat="1" ht="153" hidden="1" x14ac:dyDescent="0.2">
      <c r="A327" s="421" t="s">
        <v>65</v>
      </c>
      <c r="B327" s="422" t="s">
        <v>354</v>
      </c>
      <c r="C327" s="422">
        <v>1.94</v>
      </c>
      <c r="D327" s="422">
        <v>1</v>
      </c>
      <c r="E327" s="422">
        <v>1.94</v>
      </c>
      <c r="F327" s="422"/>
      <c r="G327" s="426">
        <v>232.79166666666669</v>
      </c>
      <c r="H327" s="422">
        <v>13.6172</v>
      </c>
      <c r="I327" s="416">
        <f t="shared" si="82"/>
        <v>3169.97</v>
      </c>
      <c r="J327" s="418">
        <f t="shared" si="83"/>
        <v>6149.74</v>
      </c>
      <c r="K327" s="419">
        <f t="shared" si="84"/>
        <v>1229.95</v>
      </c>
      <c r="L327" s="420">
        <f t="shared" si="85"/>
        <v>7379.69</v>
      </c>
      <c r="M327" s="136"/>
      <c r="N327" s="77"/>
      <c r="O327" s="18"/>
      <c r="P327" s="22"/>
      <c r="Q327" s="22"/>
      <c r="R327" s="22"/>
    </row>
    <row r="328" spans="1:18" s="20" customFormat="1" ht="51" hidden="1" x14ac:dyDescent="0.2">
      <c r="A328" s="421" t="s">
        <v>356</v>
      </c>
      <c r="B328" s="422" t="s">
        <v>355</v>
      </c>
      <c r="C328" s="422">
        <v>0.1164</v>
      </c>
      <c r="D328" s="422">
        <v>1</v>
      </c>
      <c r="E328" s="422">
        <v>0.1164</v>
      </c>
      <c r="F328" s="422"/>
      <c r="G328" s="426">
        <v>16413.416666666668</v>
      </c>
      <c r="H328" s="422">
        <v>13.6172</v>
      </c>
      <c r="I328" s="416">
        <f t="shared" si="82"/>
        <v>223504.78</v>
      </c>
      <c r="J328" s="418">
        <f t="shared" si="83"/>
        <v>26015.96</v>
      </c>
      <c r="K328" s="419">
        <f t="shared" si="84"/>
        <v>5203.1899999999996</v>
      </c>
      <c r="L328" s="420">
        <f t="shared" si="85"/>
        <v>31219.15</v>
      </c>
      <c r="M328" s="136"/>
      <c r="N328" s="77"/>
      <c r="O328" s="18"/>
      <c r="P328" s="22"/>
      <c r="Q328" s="22"/>
      <c r="R328" s="22"/>
    </row>
    <row r="329" spans="1:18" s="20" customFormat="1" ht="38.25" hidden="1" x14ac:dyDescent="0.2">
      <c r="A329" s="421" t="s">
        <v>359</v>
      </c>
      <c r="B329" s="422" t="s">
        <v>355</v>
      </c>
      <c r="C329" s="422">
        <v>4.8500000000000001E-2</v>
      </c>
      <c r="D329" s="422">
        <v>1</v>
      </c>
      <c r="E329" s="422">
        <v>4.8500000000000001E-2</v>
      </c>
      <c r="F329" s="422"/>
      <c r="G329" s="426">
        <v>364.85</v>
      </c>
      <c r="H329" s="422">
        <v>13.6172</v>
      </c>
      <c r="I329" s="416">
        <f t="shared" si="82"/>
        <v>4968.24</v>
      </c>
      <c r="J329" s="418">
        <f t="shared" si="83"/>
        <v>240.96</v>
      </c>
      <c r="K329" s="419">
        <f t="shared" si="84"/>
        <v>48.19</v>
      </c>
      <c r="L329" s="420">
        <f t="shared" si="85"/>
        <v>289.14999999999998</v>
      </c>
      <c r="M329" s="136"/>
      <c r="N329" s="77"/>
      <c r="O329" s="18"/>
      <c r="P329" s="22"/>
      <c r="Q329" s="22"/>
      <c r="R329" s="22"/>
    </row>
    <row r="330" spans="1:18" s="20" customFormat="1" ht="38.25" hidden="1" x14ac:dyDescent="0.2">
      <c r="A330" s="219" t="s">
        <v>49</v>
      </c>
      <c r="B330" s="422"/>
      <c r="C330" s="422"/>
      <c r="D330" s="422"/>
      <c r="E330" s="422"/>
      <c r="F330" s="422"/>
      <c r="G330" s="231"/>
      <c r="H330" s="231"/>
      <c r="I330" s="463"/>
      <c r="J330" s="418"/>
      <c r="K330" s="462"/>
      <c r="L330" s="420"/>
      <c r="M330" s="136"/>
      <c r="N330" s="77"/>
      <c r="O330" s="18"/>
      <c r="P330" s="22"/>
      <c r="Q330" s="22"/>
      <c r="R330" s="22"/>
    </row>
    <row r="331" spans="1:18" s="20" customFormat="1" ht="153" hidden="1" x14ac:dyDescent="0.2">
      <c r="A331" s="421" t="s">
        <v>368</v>
      </c>
      <c r="B331" s="422" t="s">
        <v>354</v>
      </c>
      <c r="C331" s="422">
        <v>5.28</v>
      </c>
      <c r="D331" s="422">
        <v>1</v>
      </c>
      <c r="E331" s="422">
        <v>5.28</v>
      </c>
      <c r="F331" s="422"/>
      <c r="G331" s="426">
        <v>232.79166666666669</v>
      </c>
      <c r="H331" s="422">
        <v>13.6172</v>
      </c>
      <c r="I331" s="416">
        <f t="shared" ref="I331:I360" si="86">ROUND(G331*H331,2)</f>
        <v>3169.97</v>
      </c>
      <c r="J331" s="418">
        <f t="shared" ref="J331:J360" si="87">ROUND(I331*E331,2)</f>
        <v>16737.439999999999</v>
      </c>
      <c r="K331" s="419">
        <f t="shared" ref="K331:K360" si="88">ROUND(J331*0.2,2)</f>
        <v>3347.49</v>
      </c>
      <c r="L331" s="420">
        <f t="shared" ref="L331:L360" si="89">ROUND(J331+K331,2)</f>
        <v>20084.93</v>
      </c>
      <c r="M331" s="9"/>
      <c r="N331" s="77"/>
      <c r="O331" s="18"/>
      <c r="P331" s="22"/>
      <c r="Q331" s="22"/>
      <c r="R331" s="22"/>
    </row>
    <row r="332" spans="1:18" s="20" customFormat="1" ht="51" hidden="1" x14ac:dyDescent="0.2">
      <c r="A332" s="421" t="s">
        <v>356</v>
      </c>
      <c r="B332" s="422" t="s">
        <v>355</v>
      </c>
      <c r="C332" s="422">
        <v>0.34320000000000001</v>
      </c>
      <c r="D332" s="422">
        <v>1</v>
      </c>
      <c r="E332" s="422">
        <v>0.34320000000000001</v>
      </c>
      <c r="F332" s="422"/>
      <c r="G332" s="426">
        <v>16413.416666666668</v>
      </c>
      <c r="H332" s="422">
        <v>13.6172</v>
      </c>
      <c r="I332" s="416">
        <f t="shared" si="86"/>
        <v>223504.78</v>
      </c>
      <c r="J332" s="418">
        <f t="shared" si="87"/>
        <v>76706.84</v>
      </c>
      <c r="K332" s="419">
        <f t="shared" si="88"/>
        <v>15341.37</v>
      </c>
      <c r="L332" s="420">
        <f t="shared" si="89"/>
        <v>92048.21</v>
      </c>
      <c r="M332" s="9"/>
      <c r="N332" s="77"/>
      <c r="O332" s="18"/>
      <c r="P332" s="22"/>
      <c r="Q332" s="22"/>
      <c r="R332" s="22"/>
    </row>
    <row r="333" spans="1:18" s="20" customFormat="1" ht="51" hidden="1" x14ac:dyDescent="0.2">
      <c r="A333" s="421" t="s">
        <v>357</v>
      </c>
      <c r="B333" s="422" t="s">
        <v>355</v>
      </c>
      <c r="C333" s="422">
        <v>0.13200000000000001</v>
      </c>
      <c r="D333" s="422">
        <v>1</v>
      </c>
      <c r="E333" s="422">
        <v>0.13200000000000001</v>
      </c>
      <c r="F333" s="422"/>
      <c r="G333" s="426">
        <v>364.85</v>
      </c>
      <c r="H333" s="422">
        <v>13.6172</v>
      </c>
      <c r="I333" s="416">
        <f t="shared" si="86"/>
        <v>4968.24</v>
      </c>
      <c r="J333" s="418">
        <f t="shared" si="87"/>
        <v>655.81</v>
      </c>
      <c r="K333" s="419">
        <f t="shared" si="88"/>
        <v>131.16</v>
      </c>
      <c r="L333" s="420">
        <f t="shared" si="89"/>
        <v>786.97</v>
      </c>
      <c r="M333" s="9"/>
      <c r="N333" s="77"/>
      <c r="O333" s="18"/>
      <c r="P333" s="22"/>
      <c r="Q333" s="22"/>
      <c r="R333" s="22"/>
    </row>
    <row r="334" spans="1:18" s="20" customFormat="1" ht="165.75" hidden="1" x14ac:dyDescent="0.2">
      <c r="A334" s="421" t="s">
        <v>66</v>
      </c>
      <c r="B334" s="422" t="s">
        <v>354</v>
      </c>
      <c r="C334" s="422">
        <v>63.54</v>
      </c>
      <c r="D334" s="422">
        <v>1</v>
      </c>
      <c r="E334" s="422">
        <v>63.54</v>
      </c>
      <c r="F334" s="422"/>
      <c r="G334" s="426">
        <v>232.79166666666669</v>
      </c>
      <c r="H334" s="422">
        <v>13.6172</v>
      </c>
      <c r="I334" s="416">
        <f t="shared" si="86"/>
        <v>3169.97</v>
      </c>
      <c r="J334" s="418">
        <f t="shared" si="87"/>
        <v>201419.89</v>
      </c>
      <c r="K334" s="419">
        <f t="shared" si="88"/>
        <v>40283.980000000003</v>
      </c>
      <c r="L334" s="420">
        <f t="shared" si="89"/>
        <v>241703.87</v>
      </c>
      <c r="M334" s="9"/>
      <c r="N334" s="77"/>
      <c r="O334" s="18"/>
      <c r="P334" s="22"/>
      <c r="Q334" s="22"/>
      <c r="R334" s="22"/>
    </row>
    <row r="335" spans="1:18" s="20" customFormat="1" ht="38.25" hidden="1" x14ac:dyDescent="0.2">
      <c r="A335" s="421" t="s">
        <v>358</v>
      </c>
      <c r="B335" s="422" t="s">
        <v>355</v>
      </c>
      <c r="C335" s="422">
        <v>3.8123999999999998</v>
      </c>
      <c r="D335" s="422">
        <v>1</v>
      </c>
      <c r="E335" s="422">
        <v>3.8123999999999998</v>
      </c>
      <c r="F335" s="422"/>
      <c r="G335" s="426">
        <v>16413.416666666668</v>
      </c>
      <c r="H335" s="422">
        <v>13.6172</v>
      </c>
      <c r="I335" s="416">
        <f t="shared" si="86"/>
        <v>223504.78</v>
      </c>
      <c r="J335" s="418">
        <f t="shared" si="87"/>
        <v>852089.62</v>
      </c>
      <c r="K335" s="419">
        <f t="shared" si="88"/>
        <v>170417.92000000001</v>
      </c>
      <c r="L335" s="420">
        <f t="shared" si="89"/>
        <v>1022507.54</v>
      </c>
      <c r="M335" s="9"/>
      <c r="N335" s="77"/>
      <c r="O335" s="18"/>
      <c r="P335" s="22"/>
      <c r="Q335" s="22"/>
      <c r="R335" s="22"/>
    </row>
    <row r="336" spans="1:18" s="20" customFormat="1" ht="51" hidden="1" x14ac:dyDescent="0.2">
      <c r="A336" s="421" t="s">
        <v>357</v>
      </c>
      <c r="B336" s="422" t="s">
        <v>355</v>
      </c>
      <c r="C336" s="422">
        <v>1.5885</v>
      </c>
      <c r="D336" s="422">
        <v>1</v>
      </c>
      <c r="E336" s="422">
        <v>1.5885</v>
      </c>
      <c r="F336" s="422"/>
      <c r="G336" s="426">
        <v>364.85</v>
      </c>
      <c r="H336" s="422">
        <v>13.6172</v>
      </c>
      <c r="I336" s="416">
        <f t="shared" si="86"/>
        <v>4968.24</v>
      </c>
      <c r="J336" s="418">
        <f t="shared" si="87"/>
        <v>7892.05</v>
      </c>
      <c r="K336" s="419">
        <f t="shared" si="88"/>
        <v>1578.41</v>
      </c>
      <c r="L336" s="420">
        <f t="shared" si="89"/>
        <v>9470.4599999999991</v>
      </c>
      <c r="M336" s="9"/>
      <c r="N336" s="77"/>
      <c r="O336" s="18"/>
      <c r="P336" s="22"/>
      <c r="Q336" s="22"/>
      <c r="R336" s="22"/>
    </row>
    <row r="337" spans="1:18" s="20" customFormat="1" ht="178.5" hidden="1" x14ac:dyDescent="0.2">
      <c r="A337" s="421" t="s">
        <v>67</v>
      </c>
      <c r="B337" s="422" t="s">
        <v>354</v>
      </c>
      <c r="C337" s="422">
        <v>7.43</v>
      </c>
      <c r="D337" s="422">
        <v>1</v>
      </c>
      <c r="E337" s="422">
        <v>7.43</v>
      </c>
      <c r="F337" s="422"/>
      <c r="G337" s="426">
        <v>232.79166666666669</v>
      </c>
      <c r="H337" s="422">
        <v>13.6172</v>
      </c>
      <c r="I337" s="416">
        <f t="shared" si="86"/>
        <v>3169.97</v>
      </c>
      <c r="J337" s="418">
        <f t="shared" si="87"/>
        <v>23552.880000000001</v>
      </c>
      <c r="K337" s="419">
        <f t="shared" si="88"/>
        <v>4710.58</v>
      </c>
      <c r="L337" s="420">
        <f t="shared" si="89"/>
        <v>28263.46</v>
      </c>
      <c r="M337" s="9"/>
      <c r="N337" s="77"/>
      <c r="O337" s="18"/>
      <c r="P337" s="22"/>
      <c r="Q337" s="22"/>
      <c r="R337" s="22"/>
    </row>
    <row r="338" spans="1:18" s="20" customFormat="1" ht="38.25" hidden="1" x14ac:dyDescent="0.2">
      <c r="A338" s="421" t="s">
        <v>358</v>
      </c>
      <c r="B338" s="422" t="s">
        <v>355</v>
      </c>
      <c r="C338" s="422">
        <v>0.12064</v>
      </c>
      <c r="D338" s="422">
        <v>1</v>
      </c>
      <c r="E338" s="422">
        <v>0.12064</v>
      </c>
      <c r="F338" s="422"/>
      <c r="G338" s="426">
        <v>16413.416666666668</v>
      </c>
      <c r="H338" s="422">
        <v>13.6172</v>
      </c>
      <c r="I338" s="416">
        <f t="shared" si="86"/>
        <v>223504.78</v>
      </c>
      <c r="J338" s="418">
        <f t="shared" si="87"/>
        <v>26963.62</v>
      </c>
      <c r="K338" s="419">
        <f t="shared" si="88"/>
        <v>5392.72</v>
      </c>
      <c r="L338" s="420">
        <f t="shared" si="89"/>
        <v>32356.34</v>
      </c>
      <c r="M338" s="9"/>
      <c r="N338" s="77"/>
      <c r="O338" s="18"/>
      <c r="P338" s="22"/>
      <c r="Q338" s="22"/>
      <c r="R338" s="22"/>
    </row>
    <row r="339" spans="1:18" s="20" customFormat="1" ht="38.25" hidden="1" x14ac:dyDescent="0.2">
      <c r="A339" s="421" t="s">
        <v>359</v>
      </c>
      <c r="B339" s="422" t="s">
        <v>355</v>
      </c>
      <c r="C339" s="422">
        <v>4.6399999999999997E-2</v>
      </c>
      <c r="D339" s="422">
        <v>1</v>
      </c>
      <c r="E339" s="422">
        <v>4.6399999999999997E-2</v>
      </c>
      <c r="F339" s="422"/>
      <c r="G339" s="426">
        <v>364.85</v>
      </c>
      <c r="H339" s="422">
        <v>13.6172</v>
      </c>
      <c r="I339" s="416">
        <f t="shared" si="86"/>
        <v>4968.24</v>
      </c>
      <c r="J339" s="418">
        <f t="shared" si="87"/>
        <v>230.53</v>
      </c>
      <c r="K339" s="419">
        <f t="shared" si="88"/>
        <v>46.11</v>
      </c>
      <c r="L339" s="420">
        <f t="shared" si="89"/>
        <v>276.64</v>
      </c>
      <c r="M339" s="9"/>
      <c r="N339" s="77"/>
      <c r="O339" s="18"/>
      <c r="P339" s="22"/>
      <c r="Q339" s="22"/>
      <c r="R339" s="22"/>
    </row>
    <row r="340" spans="1:18" s="20" customFormat="1" ht="178.5" hidden="1" x14ac:dyDescent="0.2">
      <c r="A340" s="421" t="s">
        <v>362</v>
      </c>
      <c r="B340" s="422" t="s">
        <v>354</v>
      </c>
      <c r="C340" s="422">
        <v>2.04</v>
      </c>
      <c r="D340" s="422">
        <v>1</v>
      </c>
      <c r="E340" s="422">
        <v>2.04</v>
      </c>
      <c r="F340" s="422"/>
      <c r="G340" s="426">
        <v>232.79166666666669</v>
      </c>
      <c r="H340" s="422">
        <v>13.6172</v>
      </c>
      <c r="I340" s="416">
        <f t="shared" si="86"/>
        <v>3169.97</v>
      </c>
      <c r="J340" s="418">
        <f t="shared" si="87"/>
        <v>6466.74</v>
      </c>
      <c r="K340" s="419">
        <f t="shared" si="88"/>
        <v>1293.3499999999999</v>
      </c>
      <c r="L340" s="420">
        <f t="shared" si="89"/>
        <v>7760.09</v>
      </c>
      <c r="M340" s="9"/>
      <c r="N340" s="77"/>
      <c r="O340" s="18"/>
      <c r="P340" s="22"/>
      <c r="Q340" s="22"/>
      <c r="R340" s="22"/>
    </row>
    <row r="341" spans="1:18" s="20" customFormat="1" ht="51" hidden="1" x14ac:dyDescent="0.2">
      <c r="A341" s="421" t="s">
        <v>356</v>
      </c>
      <c r="B341" s="422" t="s">
        <v>355</v>
      </c>
      <c r="C341" s="422">
        <v>9.9580000000000002E-2</v>
      </c>
      <c r="D341" s="422">
        <v>1</v>
      </c>
      <c r="E341" s="422">
        <v>9.9580000000000002E-2</v>
      </c>
      <c r="F341" s="422"/>
      <c r="G341" s="426">
        <v>16413.416666666668</v>
      </c>
      <c r="H341" s="422">
        <v>13.6172</v>
      </c>
      <c r="I341" s="416">
        <f t="shared" si="86"/>
        <v>223504.78</v>
      </c>
      <c r="J341" s="418">
        <f t="shared" si="87"/>
        <v>22256.61</v>
      </c>
      <c r="K341" s="419">
        <f t="shared" si="88"/>
        <v>4451.32</v>
      </c>
      <c r="L341" s="420">
        <f t="shared" si="89"/>
        <v>26707.93</v>
      </c>
      <c r="M341" s="9"/>
      <c r="N341" s="77"/>
      <c r="O341" s="18"/>
      <c r="P341" s="22"/>
      <c r="Q341" s="22"/>
      <c r="R341" s="22"/>
    </row>
    <row r="342" spans="1:18" s="20" customFormat="1" ht="38.25" hidden="1" x14ac:dyDescent="0.2">
      <c r="A342" s="421" t="s">
        <v>359</v>
      </c>
      <c r="B342" s="422" t="s">
        <v>355</v>
      </c>
      <c r="C342" s="422">
        <v>3.8300000000000001E-2</v>
      </c>
      <c r="D342" s="422">
        <v>1</v>
      </c>
      <c r="E342" s="422">
        <v>3.8300000000000001E-2</v>
      </c>
      <c r="F342" s="422"/>
      <c r="G342" s="426">
        <v>364.85</v>
      </c>
      <c r="H342" s="422">
        <v>13.6172</v>
      </c>
      <c r="I342" s="416">
        <f t="shared" si="86"/>
        <v>4968.24</v>
      </c>
      <c r="J342" s="418">
        <f t="shared" si="87"/>
        <v>190.28</v>
      </c>
      <c r="K342" s="419">
        <f t="shared" si="88"/>
        <v>38.06</v>
      </c>
      <c r="L342" s="420">
        <f t="shared" si="89"/>
        <v>228.34</v>
      </c>
      <c r="M342" s="9"/>
      <c r="N342" s="77"/>
      <c r="O342" s="18"/>
      <c r="P342" s="22"/>
      <c r="Q342" s="22"/>
      <c r="R342" s="22"/>
    </row>
    <row r="343" spans="1:18" s="20" customFormat="1" ht="178.5" hidden="1" x14ac:dyDescent="0.2">
      <c r="A343" s="421" t="s">
        <v>360</v>
      </c>
      <c r="B343" s="422" t="s">
        <v>354</v>
      </c>
      <c r="C343" s="422">
        <v>0.8</v>
      </c>
      <c r="D343" s="422">
        <v>1</v>
      </c>
      <c r="E343" s="422">
        <v>0.8</v>
      </c>
      <c r="F343" s="422"/>
      <c r="G343" s="426">
        <v>232.79166666666669</v>
      </c>
      <c r="H343" s="422">
        <v>13.6172</v>
      </c>
      <c r="I343" s="416">
        <f t="shared" si="86"/>
        <v>3169.97</v>
      </c>
      <c r="J343" s="418">
        <f t="shared" si="87"/>
        <v>2535.98</v>
      </c>
      <c r="K343" s="419">
        <f t="shared" si="88"/>
        <v>507.2</v>
      </c>
      <c r="L343" s="420">
        <f t="shared" si="89"/>
        <v>3043.18</v>
      </c>
      <c r="M343" s="9"/>
      <c r="N343" s="77"/>
      <c r="O343" s="18"/>
      <c r="P343" s="22"/>
      <c r="Q343" s="22"/>
      <c r="R343" s="22"/>
    </row>
    <row r="344" spans="1:18" s="20" customFormat="1" ht="38.25" hidden="1" x14ac:dyDescent="0.2">
      <c r="A344" s="421" t="s">
        <v>358</v>
      </c>
      <c r="B344" s="422" t="s">
        <v>355</v>
      </c>
      <c r="C344" s="422">
        <v>2.6000000000000002E-2</v>
      </c>
      <c r="D344" s="422">
        <v>1</v>
      </c>
      <c r="E344" s="422">
        <v>2.6000000000000002E-2</v>
      </c>
      <c r="F344" s="422"/>
      <c r="G344" s="426">
        <v>16413.416666666668</v>
      </c>
      <c r="H344" s="422">
        <v>13.6172</v>
      </c>
      <c r="I344" s="416">
        <f t="shared" si="86"/>
        <v>223504.78</v>
      </c>
      <c r="J344" s="418">
        <f t="shared" si="87"/>
        <v>5811.12</v>
      </c>
      <c r="K344" s="419">
        <f t="shared" si="88"/>
        <v>1162.22</v>
      </c>
      <c r="L344" s="420">
        <f t="shared" si="89"/>
        <v>6973.34</v>
      </c>
      <c r="M344" s="9"/>
      <c r="N344" s="77"/>
      <c r="O344" s="18"/>
      <c r="P344" s="22"/>
      <c r="Q344" s="22"/>
      <c r="R344" s="22"/>
    </row>
    <row r="345" spans="1:18" s="20" customFormat="1" ht="38.25" hidden="1" x14ac:dyDescent="0.2">
      <c r="A345" s="421" t="s">
        <v>404</v>
      </c>
      <c r="B345" s="422" t="s">
        <v>355</v>
      </c>
      <c r="C345" s="422">
        <v>0.01</v>
      </c>
      <c r="D345" s="422">
        <v>1</v>
      </c>
      <c r="E345" s="422">
        <v>0.01</v>
      </c>
      <c r="F345" s="422"/>
      <c r="G345" s="426">
        <v>364.85</v>
      </c>
      <c r="H345" s="422">
        <v>13.6172</v>
      </c>
      <c r="I345" s="416">
        <f t="shared" si="86"/>
        <v>4968.24</v>
      </c>
      <c r="J345" s="418">
        <f t="shared" si="87"/>
        <v>49.68</v>
      </c>
      <c r="K345" s="419">
        <f t="shared" si="88"/>
        <v>9.94</v>
      </c>
      <c r="L345" s="420">
        <f t="shared" si="89"/>
        <v>59.62</v>
      </c>
      <c r="M345" s="9"/>
      <c r="N345" s="77"/>
      <c r="O345" s="18"/>
      <c r="P345" s="22"/>
      <c r="Q345" s="22"/>
      <c r="R345" s="22"/>
    </row>
    <row r="346" spans="1:18" s="20" customFormat="1" ht="165.75" hidden="1" x14ac:dyDescent="0.2">
      <c r="A346" s="421" t="s">
        <v>68</v>
      </c>
      <c r="B346" s="422" t="s">
        <v>354</v>
      </c>
      <c r="C346" s="422">
        <v>4.55</v>
      </c>
      <c r="D346" s="422">
        <v>1</v>
      </c>
      <c r="E346" s="422">
        <v>4.55</v>
      </c>
      <c r="F346" s="422"/>
      <c r="G346" s="426">
        <v>232.79166666666669</v>
      </c>
      <c r="H346" s="422">
        <v>13.6172</v>
      </c>
      <c r="I346" s="416">
        <f t="shared" si="86"/>
        <v>3169.97</v>
      </c>
      <c r="J346" s="418">
        <f t="shared" si="87"/>
        <v>14423.36</v>
      </c>
      <c r="K346" s="419">
        <f t="shared" si="88"/>
        <v>2884.67</v>
      </c>
      <c r="L346" s="420">
        <f t="shared" si="89"/>
        <v>17308.03</v>
      </c>
      <c r="M346" s="9"/>
      <c r="N346" s="77"/>
      <c r="O346" s="18"/>
      <c r="P346" s="22"/>
      <c r="Q346" s="22"/>
      <c r="R346" s="22"/>
    </row>
    <row r="347" spans="1:18" s="20" customFormat="1" ht="51" hidden="1" x14ac:dyDescent="0.2">
      <c r="A347" s="421" t="s">
        <v>344</v>
      </c>
      <c r="B347" s="422" t="s">
        <v>355</v>
      </c>
      <c r="C347" s="422">
        <v>0.51791999999999994</v>
      </c>
      <c r="D347" s="422">
        <v>1</v>
      </c>
      <c r="E347" s="422">
        <v>0.51791999999999994</v>
      </c>
      <c r="F347" s="422"/>
      <c r="G347" s="426">
        <v>16413.416666666668</v>
      </c>
      <c r="H347" s="422">
        <v>13.6172</v>
      </c>
      <c r="I347" s="416">
        <f t="shared" si="86"/>
        <v>223504.78</v>
      </c>
      <c r="J347" s="418">
        <f t="shared" si="87"/>
        <v>115757.6</v>
      </c>
      <c r="K347" s="419">
        <f t="shared" si="88"/>
        <v>23151.52</v>
      </c>
      <c r="L347" s="420">
        <f t="shared" si="89"/>
        <v>138909.12</v>
      </c>
      <c r="M347" s="9"/>
      <c r="N347" s="77"/>
      <c r="O347" s="18"/>
      <c r="P347" s="22"/>
      <c r="Q347" s="22"/>
      <c r="R347" s="22"/>
    </row>
    <row r="348" spans="1:18" s="20" customFormat="1" ht="51" hidden="1" x14ac:dyDescent="0.2">
      <c r="A348" s="421" t="s">
        <v>367</v>
      </c>
      <c r="B348" s="422" t="s">
        <v>355</v>
      </c>
      <c r="C348" s="422">
        <v>0.19919999999999999</v>
      </c>
      <c r="D348" s="422">
        <v>1</v>
      </c>
      <c r="E348" s="422">
        <v>0.19919999999999999</v>
      </c>
      <c r="F348" s="422"/>
      <c r="G348" s="426">
        <v>364.85</v>
      </c>
      <c r="H348" s="422">
        <v>13.6172</v>
      </c>
      <c r="I348" s="416">
        <f t="shared" si="86"/>
        <v>4968.24</v>
      </c>
      <c r="J348" s="418">
        <f t="shared" si="87"/>
        <v>989.67</v>
      </c>
      <c r="K348" s="419">
        <f t="shared" si="88"/>
        <v>197.93</v>
      </c>
      <c r="L348" s="420">
        <f t="shared" si="89"/>
        <v>1187.5999999999999</v>
      </c>
      <c r="M348" s="9"/>
      <c r="N348" s="77"/>
      <c r="O348" s="18"/>
      <c r="P348" s="22"/>
      <c r="Q348" s="22"/>
      <c r="R348" s="22"/>
    </row>
    <row r="349" spans="1:18" s="20" customFormat="1" ht="165.75" hidden="1" x14ac:dyDescent="0.2">
      <c r="A349" s="421" t="s">
        <v>69</v>
      </c>
      <c r="B349" s="422" t="s">
        <v>354</v>
      </c>
      <c r="C349" s="422">
        <v>9.0999999999999998E-2</v>
      </c>
      <c r="D349" s="422">
        <v>1</v>
      </c>
      <c r="E349" s="422">
        <v>9.0999999999999998E-2</v>
      </c>
      <c r="F349" s="422"/>
      <c r="G349" s="426">
        <v>232.79166666666669</v>
      </c>
      <c r="H349" s="422">
        <v>13.6172</v>
      </c>
      <c r="I349" s="416">
        <f t="shared" si="86"/>
        <v>3169.97</v>
      </c>
      <c r="J349" s="418">
        <f t="shared" si="87"/>
        <v>288.47000000000003</v>
      </c>
      <c r="K349" s="419">
        <f t="shared" si="88"/>
        <v>57.69</v>
      </c>
      <c r="L349" s="420">
        <f t="shared" si="89"/>
        <v>346.16</v>
      </c>
      <c r="M349" s="9"/>
      <c r="N349" s="77"/>
      <c r="O349" s="18"/>
      <c r="P349" s="22"/>
      <c r="Q349" s="22"/>
      <c r="R349" s="22"/>
    </row>
    <row r="350" spans="1:18" s="20" customFormat="1" ht="51" hidden="1" x14ac:dyDescent="0.2">
      <c r="A350" s="421" t="s">
        <v>356</v>
      </c>
      <c r="B350" s="422" t="s">
        <v>355</v>
      </c>
      <c r="C350" s="422">
        <v>1.7680000000000001E-2</v>
      </c>
      <c r="D350" s="422">
        <v>1</v>
      </c>
      <c r="E350" s="422">
        <v>1.7680000000000001E-2</v>
      </c>
      <c r="F350" s="422"/>
      <c r="G350" s="426">
        <v>16413.416666666668</v>
      </c>
      <c r="H350" s="422">
        <v>13.6172</v>
      </c>
      <c r="I350" s="416">
        <f t="shared" si="86"/>
        <v>223504.78</v>
      </c>
      <c r="J350" s="418">
        <f t="shared" si="87"/>
        <v>3951.56</v>
      </c>
      <c r="K350" s="419">
        <f t="shared" si="88"/>
        <v>790.31</v>
      </c>
      <c r="L350" s="420">
        <f t="shared" si="89"/>
        <v>4741.87</v>
      </c>
      <c r="M350" s="9"/>
      <c r="N350" s="77"/>
      <c r="O350" s="18"/>
      <c r="P350" s="22"/>
      <c r="Q350" s="22"/>
      <c r="R350" s="22"/>
    </row>
    <row r="351" spans="1:18" s="20" customFormat="1" ht="51" hidden="1" x14ac:dyDescent="0.2">
      <c r="A351" s="421" t="s">
        <v>357</v>
      </c>
      <c r="B351" s="422" t="s">
        <v>355</v>
      </c>
      <c r="C351" s="422">
        <v>6.7999999999999996E-3</v>
      </c>
      <c r="D351" s="422">
        <v>1</v>
      </c>
      <c r="E351" s="422">
        <v>6.7999999999999996E-3</v>
      </c>
      <c r="F351" s="422"/>
      <c r="G351" s="426">
        <v>364.85</v>
      </c>
      <c r="H351" s="422">
        <v>13.6172</v>
      </c>
      <c r="I351" s="416">
        <f t="shared" si="86"/>
        <v>4968.24</v>
      </c>
      <c r="J351" s="418">
        <f t="shared" si="87"/>
        <v>33.78</v>
      </c>
      <c r="K351" s="419">
        <f t="shared" si="88"/>
        <v>6.76</v>
      </c>
      <c r="L351" s="420">
        <f t="shared" si="89"/>
        <v>40.54</v>
      </c>
      <c r="M351" s="9"/>
      <c r="N351" s="77"/>
      <c r="O351" s="18"/>
      <c r="P351" s="22"/>
      <c r="Q351" s="22"/>
      <c r="R351" s="22"/>
    </row>
    <row r="352" spans="1:18" s="20" customFormat="1" ht="76.5" hidden="1" x14ac:dyDescent="0.2">
      <c r="A352" s="421" t="s">
        <v>70</v>
      </c>
      <c r="B352" s="422" t="s">
        <v>354</v>
      </c>
      <c r="C352" s="422">
        <v>3.3300000000000003E-2</v>
      </c>
      <c r="D352" s="422">
        <v>1</v>
      </c>
      <c r="E352" s="422">
        <v>3.3300000000000003E-2</v>
      </c>
      <c r="F352" s="422"/>
      <c r="G352" s="426">
        <v>397.01666666666671</v>
      </c>
      <c r="H352" s="422">
        <v>13.6172</v>
      </c>
      <c r="I352" s="416">
        <f t="shared" si="86"/>
        <v>5406.26</v>
      </c>
      <c r="J352" s="418">
        <f t="shared" si="87"/>
        <v>180.03</v>
      </c>
      <c r="K352" s="419">
        <f t="shared" si="88"/>
        <v>36.01</v>
      </c>
      <c r="L352" s="420">
        <f t="shared" si="89"/>
        <v>216.04</v>
      </c>
      <c r="M352" s="9"/>
      <c r="N352" s="77"/>
      <c r="O352" s="18"/>
      <c r="P352" s="22"/>
      <c r="Q352" s="22"/>
      <c r="R352" s="22"/>
    </row>
    <row r="353" spans="1:18" s="20" customFormat="1" ht="38.25" hidden="1" x14ac:dyDescent="0.2">
      <c r="A353" s="421" t="s">
        <v>358</v>
      </c>
      <c r="B353" s="422" t="s">
        <v>355</v>
      </c>
      <c r="C353" s="422">
        <v>6.9159999999999999E-2</v>
      </c>
      <c r="D353" s="422">
        <v>1</v>
      </c>
      <c r="E353" s="422">
        <v>6.9159999999999999E-2</v>
      </c>
      <c r="F353" s="422"/>
      <c r="G353" s="426">
        <v>16413.416666666668</v>
      </c>
      <c r="H353" s="422">
        <v>13.6172</v>
      </c>
      <c r="I353" s="416">
        <f t="shared" si="86"/>
        <v>223504.78</v>
      </c>
      <c r="J353" s="418">
        <f t="shared" si="87"/>
        <v>15457.59</v>
      </c>
      <c r="K353" s="419">
        <f t="shared" si="88"/>
        <v>3091.52</v>
      </c>
      <c r="L353" s="420">
        <f t="shared" si="89"/>
        <v>18549.11</v>
      </c>
      <c r="M353" s="9"/>
      <c r="N353" s="77"/>
      <c r="O353" s="18"/>
      <c r="P353" s="22"/>
      <c r="Q353" s="22"/>
      <c r="R353" s="22"/>
    </row>
    <row r="354" spans="1:18" s="20" customFormat="1" ht="51" hidden="1" x14ac:dyDescent="0.2">
      <c r="A354" s="421" t="s">
        <v>357</v>
      </c>
      <c r="B354" s="422" t="s">
        <v>355</v>
      </c>
      <c r="C354" s="422">
        <v>2.6599999999999999E-2</v>
      </c>
      <c r="D354" s="422">
        <v>1</v>
      </c>
      <c r="E354" s="422">
        <v>2.6599999999999999E-2</v>
      </c>
      <c r="F354" s="422"/>
      <c r="G354" s="426">
        <v>364.85</v>
      </c>
      <c r="H354" s="422">
        <v>13.6172</v>
      </c>
      <c r="I354" s="416">
        <f t="shared" si="86"/>
        <v>4968.24</v>
      </c>
      <c r="J354" s="418">
        <f t="shared" si="87"/>
        <v>132.16</v>
      </c>
      <c r="K354" s="419">
        <f t="shared" si="88"/>
        <v>26.43</v>
      </c>
      <c r="L354" s="420">
        <f t="shared" si="89"/>
        <v>158.59</v>
      </c>
      <c r="M354" s="9"/>
      <c r="N354" s="77"/>
      <c r="O354" s="18"/>
      <c r="P354" s="22"/>
      <c r="Q354" s="22"/>
      <c r="R354" s="22"/>
    </row>
    <row r="355" spans="1:18" s="20" customFormat="1" ht="153" hidden="1" x14ac:dyDescent="0.2">
      <c r="A355" s="421" t="s">
        <v>71</v>
      </c>
      <c r="B355" s="422" t="s">
        <v>354</v>
      </c>
      <c r="C355" s="422">
        <v>0.19</v>
      </c>
      <c r="D355" s="422">
        <v>1</v>
      </c>
      <c r="E355" s="422">
        <v>0.19</v>
      </c>
      <c r="F355" s="422"/>
      <c r="G355" s="426">
        <v>232.79166666666669</v>
      </c>
      <c r="H355" s="422">
        <v>13.6172</v>
      </c>
      <c r="I355" s="416">
        <f t="shared" si="86"/>
        <v>3169.97</v>
      </c>
      <c r="J355" s="418">
        <f t="shared" si="87"/>
        <v>602.29</v>
      </c>
      <c r="K355" s="419">
        <f t="shared" si="88"/>
        <v>120.46</v>
      </c>
      <c r="L355" s="420">
        <f t="shared" si="89"/>
        <v>722.75</v>
      </c>
      <c r="M355" s="9"/>
      <c r="N355" s="77"/>
      <c r="O355" s="18"/>
      <c r="P355" s="22"/>
      <c r="Q355" s="22"/>
      <c r="R355" s="22"/>
    </row>
    <row r="356" spans="1:18" s="20" customFormat="1" ht="51" hidden="1" x14ac:dyDescent="0.2">
      <c r="A356" s="421" t="s">
        <v>344</v>
      </c>
      <c r="B356" s="422" t="s">
        <v>355</v>
      </c>
      <c r="C356" s="422">
        <v>1.2220000000000002E-2</v>
      </c>
      <c r="D356" s="422">
        <v>1</v>
      </c>
      <c r="E356" s="422">
        <v>1.2220000000000002E-2</v>
      </c>
      <c r="F356" s="422"/>
      <c r="G356" s="426">
        <v>16413.416666666668</v>
      </c>
      <c r="H356" s="422">
        <v>13.6172</v>
      </c>
      <c r="I356" s="416">
        <f t="shared" si="86"/>
        <v>223504.78</v>
      </c>
      <c r="J356" s="418">
        <f t="shared" si="87"/>
        <v>2731.23</v>
      </c>
      <c r="K356" s="419">
        <f t="shared" si="88"/>
        <v>546.25</v>
      </c>
      <c r="L356" s="420">
        <f t="shared" si="89"/>
        <v>3277.48</v>
      </c>
      <c r="M356" s="9"/>
      <c r="N356" s="77"/>
      <c r="O356" s="18"/>
      <c r="P356" s="22"/>
      <c r="Q356" s="22"/>
      <c r="R356" s="22"/>
    </row>
    <row r="357" spans="1:18" s="20" customFormat="1" ht="51" hidden="1" x14ac:dyDescent="0.2">
      <c r="A357" s="421" t="s">
        <v>357</v>
      </c>
      <c r="B357" s="422" t="s">
        <v>355</v>
      </c>
      <c r="C357" s="422">
        <v>4.7000000000000002E-3</v>
      </c>
      <c r="D357" s="422">
        <v>1</v>
      </c>
      <c r="E357" s="422">
        <v>4.7000000000000002E-3</v>
      </c>
      <c r="F357" s="422"/>
      <c r="G357" s="426">
        <v>364.85</v>
      </c>
      <c r="H357" s="422">
        <v>13.6172</v>
      </c>
      <c r="I357" s="416">
        <f t="shared" si="86"/>
        <v>4968.24</v>
      </c>
      <c r="J357" s="418">
        <f t="shared" si="87"/>
        <v>23.35</v>
      </c>
      <c r="K357" s="419">
        <f t="shared" si="88"/>
        <v>4.67</v>
      </c>
      <c r="L357" s="420">
        <f t="shared" si="89"/>
        <v>28.02</v>
      </c>
      <c r="M357" s="9"/>
      <c r="N357" s="77"/>
      <c r="O357" s="18"/>
      <c r="P357" s="22"/>
      <c r="Q357" s="22"/>
      <c r="R357" s="22"/>
    </row>
    <row r="358" spans="1:18" s="20" customFormat="1" ht="140.25" hidden="1" x14ac:dyDescent="0.2">
      <c r="A358" s="421" t="s">
        <v>72</v>
      </c>
      <c r="B358" s="422" t="s">
        <v>77</v>
      </c>
      <c r="C358" s="422">
        <v>0.45</v>
      </c>
      <c r="D358" s="422">
        <v>1</v>
      </c>
      <c r="E358" s="422">
        <v>0.45</v>
      </c>
      <c r="F358" s="422"/>
      <c r="G358" s="426">
        <v>182</v>
      </c>
      <c r="H358" s="422">
        <v>13.6172</v>
      </c>
      <c r="I358" s="416">
        <f t="shared" si="86"/>
        <v>2478.33</v>
      </c>
      <c r="J358" s="418">
        <f t="shared" si="87"/>
        <v>1115.25</v>
      </c>
      <c r="K358" s="419">
        <f t="shared" si="88"/>
        <v>223.05</v>
      </c>
      <c r="L358" s="420">
        <f t="shared" si="89"/>
        <v>1338.3</v>
      </c>
      <c r="M358" s="9"/>
      <c r="N358" s="77"/>
      <c r="O358" s="18"/>
      <c r="P358" s="22"/>
      <c r="Q358" s="22"/>
      <c r="R358" s="22"/>
    </row>
    <row r="359" spans="1:18" s="20" customFormat="1" ht="51" hidden="1" x14ac:dyDescent="0.2">
      <c r="A359" s="421" t="s">
        <v>356</v>
      </c>
      <c r="B359" s="422" t="s">
        <v>355</v>
      </c>
      <c r="C359" s="422">
        <v>2.938E-2</v>
      </c>
      <c r="D359" s="422">
        <v>1</v>
      </c>
      <c r="E359" s="422">
        <v>2.938E-2</v>
      </c>
      <c r="F359" s="422"/>
      <c r="G359" s="426">
        <v>16413.416666666668</v>
      </c>
      <c r="H359" s="422">
        <v>13.6172</v>
      </c>
      <c r="I359" s="416">
        <f t="shared" si="86"/>
        <v>223504.78</v>
      </c>
      <c r="J359" s="418">
        <f t="shared" si="87"/>
        <v>6566.57</v>
      </c>
      <c r="K359" s="419">
        <f t="shared" si="88"/>
        <v>1313.31</v>
      </c>
      <c r="L359" s="420">
        <f t="shared" si="89"/>
        <v>7879.88</v>
      </c>
      <c r="M359" s="9"/>
      <c r="N359" s="77"/>
      <c r="O359" s="18"/>
      <c r="P359" s="22"/>
      <c r="Q359" s="22"/>
      <c r="R359" s="22"/>
    </row>
    <row r="360" spans="1:18" s="20" customFormat="1" ht="38.25" hidden="1" x14ac:dyDescent="0.2">
      <c r="A360" s="421" t="s">
        <v>359</v>
      </c>
      <c r="B360" s="422" t="s">
        <v>355</v>
      </c>
      <c r="C360" s="422">
        <v>1.1299999999999999E-2</v>
      </c>
      <c r="D360" s="422">
        <v>1</v>
      </c>
      <c r="E360" s="422">
        <v>1.1299999999999999E-2</v>
      </c>
      <c r="F360" s="422"/>
      <c r="G360" s="426">
        <v>364.85</v>
      </c>
      <c r="H360" s="422">
        <v>13.6172</v>
      </c>
      <c r="I360" s="416">
        <f t="shared" si="86"/>
        <v>4968.24</v>
      </c>
      <c r="J360" s="418">
        <f t="shared" si="87"/>
        <v>56.14</v>
      </c>
      <c r="K360" s="419">
        <f t="shared" si="88"/>
        <v>11.23</v>
      </c>
      <c r="L360" s="420">
        <f t="shared" si="89"/>
        <v>67.37</v>
      </c>
      <c r="M360" s="9"/>
      <c r="N360" s="77"/>
      <c r="O360" s="18"/>
      <c r="P360" s="22"/>
      <c r="Q360" s="22"/>
      <c r="R360" s="22"/>
    </row>
    <row r="361" spans="1:18" s="20" customFormat="1" ht="51" hidden="1" x14ac:dyDescent="0.2">
      <c r="A361" s="219" t="s">
        <v>50</v>
      </c>
      <c r="B361" s="231"/>
      <c r="C361" s="231"/>
      <c r="D361" s="231"/>
      <c r="E361" s="231"/>
      <c r="F361" s="231"/>
      <c r="G361" s="231"/>
      <c r="H361" s="231"/>
      <c r="I361" s="231"/>
      <c r="J361" s="231"/>
      <c r="K361" s="464"/>
      <c r="L361" s="420"/>
      <c r="M361" s="64"/>
      <c r="N361" s="77"/>
      <c r="O361" s="18"/>
      <c r="P361" s="22"/>
      <c r="Q361" s="22"/>
      <c r="R361" s="22"/>
    </row>
    <row r="362" spans="1:18" s="20" customFormat="1" ht="165.75" hidden="1" x14ac:dyDescent="0.2">
      <c r="A362" s="421" t="s">
        <v>361</v>
      </c>
      <c r="B362" s="423" t="s">
        <v>354</v>
      </c>
      <c r="C362" s="423">
        <v>0.08</v>
      </c>
      <c r="D362" s="422">
        <v>1</v>
      </c>
      <c r="E362" s="422">
        <f t="shared" ref="E362:E373" si="90">D362*C362</f>
        <v>0.08</v>
      </c>
      <c r="F362" s="422">
        <v>279.35000000000002</v>
      </c>
      <c r="G362" s="418">
        <f t="shared" ref="G362:G373" si="91">F362/1.2</f>
        <v>232.79166666666669</v>
      </c>
      <c r="H362" s="422">
        <v>13.6172</v>
      </c>
      <c r="I362" s="416">
        <f t="shared" ref="I362:I373" si="92">ROUND(H362*G362,2)</f>
        <v>3169.97</v>
      </c>
      <c r="J362" s="418">
        <f t="shared" ref="J362:J373" si="93">ROUND(I362*E362,2)</f>
        <v>253.6</v>
      </c>
      <c r="K362" s="419">
        <f t="shared" ref="K362:K373" si="94">ROUND(J362*0.2,2)</f>
        <v>50.72</v>
      </c>
      <c r="L362" s="420">
        <f t="shared" ref="L362:L373" si="95">ROUND(J362+K362,2)</f>
        <v>304.32</v>
      </c>
      <c r="M362" s="64"/>
      <c r="N362" s="77"/>
      <c r="O362" s="18"/>
      <c r="P362" s="22"/>
      <c r="Q362" s="22"/>
      <c r="R362" s="22"/>
    </row>
    <row r="363" spans="1:18" s="20" customFormat="1" ht="51" hidden="1" x14ac:dyDescent="0.2">
      <c r="A363" s="421" t="s">
        <v>356</v>
      </c>
      <c r="B363" s="445" t="s">
        <v>355</v>
      </c>
      <c r="C363" s="445">
        <f>C362*P364</f>
        <v>5.2000000000000006E-3</v>
      </c>
      <c r="D363" s="422">
        <v>1</v>
      </c>
      <c r="E363" s="422">
        <f t="shared" si="90"/>
        <v>5.2000000000000006E-3</v>
      </c>
      <c r="F363" s="422">
        <v>19696.099999999999</v>
      </c>
      <c r="G363" s="418">
        <f t="shared" si="91"/>
        <v>16413.416666666668</v>
      </c>
      <c r="H363" s="422">
        <v>13.6172</v>
      </c>
      <c r="I363" s="416">
        <f t="shared" si="92"/>
        <v>223504.78</v>
      </c>
      <c r="J363" s="418">
        <f t="shared" si="93"/>
        <v>1162.22</v>
      </c>
      <c r="K363" s="419">
        <f t="shared" si="94"/>
        <v>232.44</v>
      </c>
      <c r="L363" s="420">
        <f t="shared" si="95"/>
        <v>1394.66</v>
      </c>
      <c r="M363" s="64"/>
      <c r="N363" s="77">
        <v>280.77600000000001</v>
      </c>
      <c r="O363" s="42">
        <v>491.99</v>
      </c>
      <c r="P363" s="51"/>
      <c r="Q363" s="51"/>
      <c r="R363" s="22"/>
    </row>
    <row r="364" spans="1:18" s="20" customFormat="1" ht="51" hidden="1" x14ac:dyDescent="0.2">
      <c r="A364" s="421" t="s">
        <v>357</v>
      </c>
      <c r="B364" s="423" t="s">
        <v>355</v>
      </c>
      <c r="C364" s="423">
        <f>C362*P365*Q365</f>
        <v>2E-3</v>
      </c>
      <c r="D364" s="422">
        <v>1</v>
      </c>
      <c r="E364" s="422">
        <f t="shared" si="90"/>
        <v>2E-3</v>
      </c>
      <c r="F364" s="422">
        <v>437.82</v>
      </c>
      <c r="G364" s="418">
        <f t="shared" si="91"/>
        <v>364.85</v>
      </c>
      <c r="H364" s="422">
        <v>13.6172</v>
      </c>
      <c r="I364" s="416">
        <f t="shared" si="92"/>
        <v>4968.24</v>
      </c>
      <c r="J364" s="418">
        <f t="shared" si="93"/>
        <v>9.94</v>
      </c>
      <c r="K364" s="419">
        <f t="shared" si="94"/>
        <v>1.99</v>
      </c>
      <c r="L364" s="420">
        <f t="shared" si="95"/>
        <v>11.93</v>
      </c>
      <c r="M364" s="64"/>
      <c r="N364" s="77">
        <v>1286.7959999999998</v>
      </c>
      <c r="O364" s="42">
        <v>2254.75</v>
      </c>
      <c r="P364" s="52">
        <v>6.5000000000000002E-2</v>
      </c>
      <c r="Q364" s="52"/>
      <c r="R364" s="22"/>
    </row>
    <row r="365" spans="1:18" s="20" customFormat="1" ht="178.5" hidden="1" x14ac:dyDescent="0.2">
      <c r="A365" s="421" t="s">
        <v>362</v>
      </c>
      <c r="B365" s="423" t="s">
        <v>354</v>
      </c>
      <c r="C365" s="423">
        <v>0.2</v>
      </c>
      <c r="D365" s="422">
        <v>1</v>
      </c>
      <c r="E365" s="422">
        <f t="shared" si="90"/>
        <v>0.2</v>
      </c>
      <c r="F365" s="422">
        <v>279.35000000000002</v>
      </c>
      <c r="G365" s="418">
        <f t="shared" si="91"/>
        <v>232.79166666666669</v>
      </c>
      <c r="H365" s="422">
        <v>13.6172</v>
      </c>
      <c r="I365" s="416">
        <f t="shared" si="92"/>
        <v>3169.97</v>
      </c>
      <c r="J365" s="418">
        <f t="shared" si="93"/>
        <v>633.99</v>
      </c>
      <c r="K365" s="419">
        <f t="shared" si="94"/>
        <v>126.8</v>
      </c>
      <c r="L365" s="420">
        <f t="shared" si="95"/>
        <v>760.79</v>
      </c>
      <c r="M365" s="64"/>
      <c r="N365" s="77">
        <v>11.004</v>
      </c>
      <c r="O365" s="42">
        <v>19.28</v>
      </c>
      <c r="P365" s="36">
        <v>2.5000000000000001E-4</v>
      </c>
      <c r="Q365" s="52">
        <v>100</v>
      </c>
      <c r="R365" s="22"/>
    </row>
    <row r="366" spans="1:18" s="20" customFormat="1" ht="51" hidden="1" x14ac:dyDescent="0.2">
      <c r="A366" s="421" t="s">
        <v>356</v>
      </c>
      <c r="B366" s="445" t="s">
        <v>355</v>
      </c>
      <c r="C366" s="445">
        <f>R367</f>
        <v>9.7500000000000017E-3</v>
      </c>
      <c r="D366" s="422">
        <v>1</v>
      </c>
      <c r="E366" s="422">
        <f t="shared" si="90"/>
        <v>9.7500000000000017E-3</v>
      </c>
      <c r="F366" s="422">
        <v>19696.099999999999</v>
      </c>
      <c r="G366" s="418">
        <f t="shared" si="91"/>
        <v>16413.416666666668</v>
      </c>
      <c r="H366" s="422">
        <v>13.6172</v>
      </c>
      <c r="I366" s="416">
        <f t="shared" si="92"/>
        <v>223504.78</v>
      </c>
      <c r="J366" s="418">
        <f t="shared" si="93"/>
        <v>2179.17</v>
      </c>
      <c r="K366" s="419">
        <f t="shared" si="94"/>
        <v>435.83</v>
      </c>
      <c r="L366" s="420">
        <f t="shared" si="95"/>
        <v>2615</v>
      </c>
      <c r="M366" s="64"/>
      <c r="N366" s="77">
        <v>701.94</v>
      </c>
      <c r="O366" s="42">
        <v>1229.97</v>
      </c>
      <c r="P366" s="52"/>
      <c r="Q366" s="52"/>
      <c r="R366" s="22"/>
    </row>
    <row r="367" spans="1:18" s="20" customFormat="1" ht="38.25" hidden="1" x14ac:dyDescent="0.2">
      <c r="A367" s="421" t="s">
        <v>359</v>
      </c>
      <c r="B367" s="423" t="s">
        <v>355</v>
      </c>
      <c r="C367" s="423">
        <f>C365*P368*Q368</f>
        <v>3.7500000000000003E-3</v>
      </c>
      <c r="D367" s="422">
        <v>1</v>
      </c>
      <c r="E367" s="422">
        <f t="shared" si="90"/>
        <v>3.7500000000000003E-3</v>
      </c>
      <c r="F367" s="422">
        <v>437.82</v>
      </c>
      <c r="G367" s="418">
        <f t="shared" si="91"/>
        <v>364.85</v>
      </c>
      <c r="H367" s="422">
        <v>13.6172</v>
      </c>
      <c r="I367" s="416">
        <f t="shared" si="92"/>
        <v>4968.24</v>
      </c>
      <c r="J367" s="418">
        <f t="shared" si="93"/>
        <v>18.63</v>
      </c>
      <c r="K367" s="419">
        <f t="shared" si="94"/>
        <v>3.73</v>
      </c>
      <c r="L367" s="420">
        <f t="shared" si="95"/>
        <v>22.36</v>
      </c>
      <c r="M367" s="64"/>
      <c r="N367" s="77">
        <v>2412.732</v>
      </c>
      <c r="O367" s="42">
        <v>4227.66</v>
      </c>
      <c r="P367" s="52">
        <v>3.15E-2</v>
      </c>
      <c r="Q367" s="52"/>
      <c r="R367" s="22">
        <f>C367/0.25*0.65</f>
        <v>9.7500000000000017E-3</v>
      </c>
    </row>
    <row r="368" spans="1:18" s="20" customFormat="1" ht="76.5" hidden="1" x14ac:dyDescent="0.2">
      <c r="A368" s="421" t="s">
        <v>364</v>
      </c>
      <c r="B368" s="423" t="s">
        <v>354</v>
      </c>
      <c r="C368" s="423">
        <v>1.2E-2</v>
      </c>
      <c r="D368" s="422">
        <v>1</v>
      </c>
      <c r="E368" s="422">
        <f t="shared" si="90"/>
        <v>1.2E-2</v>
      </c>
      <c r="F368" s="422">
        <v>476.42</v>
      </c>
      <c r="G368" s="418">
        <f t="shared" si="91"/>
        <v>397.01666666666671</v>
      </c>
      <c r="H368" s="422">
        <v>13.6172</v>
      </c>
      <c r="I368" s="416">
        <f t="shared" si="92"/>
        <v>5406.26</v>
      </c>
      <c r="J368" s="418">
        <f t="shared" si="93"/>
        <v>64.88</v>
      </c>
      <c r="K368" s="419">
        <f t="shared" si="94"/>
        <v>12.98</v>
      </c>
      <c r="L368" s="420">
        <f t="shared" si="95"/>
        <v>77.86</v>
      </c>
      <c r="M368" s="64"/>
      <c r="N368" s="77">
        <v>20.628</v>
      </c>
      <c r="O368" s="42">
        <v>36.14</v>
      </c>
      <c r="P368" s="36">
        <v>2.5000000000000001E-4</v>
      </c>
      <c r="Q368" s="52">
        <v>75</v>
      </c>
      <c r="R368" s="22"/>
    </row>
    <row r="369" spans="1:18" s="20" customFormat="1" ht="38.25" hidden="1" x14ac:dyDescent="0.2">
      <c r="A369" s="421" t="s">
        <v>358</v>
      </c>
      <c r="B369" s="445" t="s">
        <v>355</v>
      </c>
      <c r="C369" s="445">
        <f>R370</f>
        <v>2.4960000000000003E-2</v>
      </c>
      <c r="D369" s="422">
        <v>1</v>
      </c>
      <c r="E369" s="417">
        <f t="shared" si="90"/>
        <v>2.4960000000000003E-2</v>
      </c>
      <c r="F369" s="422">
        <v>19696.099999999999</v>
      </c>
      <c r="G369" s="418">
        <f t="shared" si="91"/>
        <v>16413.416666666668</v>
      </c>
      <c r="H369" s="422">
        <v>13.6172</v>
      </c>
      <c r="I369" s="416">
        <f t="shared" si="92"/>
        <v>223504.78</v>
      </c>
      <c r="J369" s="418">
        <f t="shared" si="93"/>
        <v>5578.68</v>
      </c>
      <c r="K369" s="419">
        <f t="shared" si="94"/>
        <v>1115.74</v>
      </c>
      <c r="L369" s="420">
        <f t="shared" si="95"/>
        <v>6694.42</v>
      </c>
      <c r="M369" s="64"/>
      <c r="N369" s="77">
        <v>71.831999999999994</v>
      </c>
      <c r="O369" s="42">
        <v>125.86</v>
      </c>
      <c r="P369" s="52"/>
      <c r="Q369" s="52"/>
      <c r="R369" s="22"/>
    </row>
    <row r="370" spans="1:18" s="20" customFormat="1" ht="51" hidden="1" x14ac:dyDescent="0.2">
      <c r="A370" s="421" t="s">
        <v>357</v>
      </c>
      <c r="B370" s="423" t="s">
        <v>355</v>
      </c>
      <c r="C370" s="423">
        <f>C368*P371*Q371</f>
        <v>9.6000000000000009E-3</v>
      </c>
      <c r="D370" s="422">
        <v>1</v>
      </c>
      <c r="E370" s="422">
        <f t="shared" si="90"/>
        <v>9.6000000000000009E-3</v>
      </c>
      <c r="F370" s="422">
        <v>437.82</v>
      </c>
      <c r="G370" s="418">
        <f t="shared" si="91"/>
        <v>364.85</v>
      </c>
      <c r="H370" s="422">
        <v>13.6172</v>
      </c>
      <c r="I370" s="416">
        <f t="shared" si="92"/>
        <v>4968.24</v>
      </c>
      <c r="J370" s="418">
        <f t="shared" si="93"/>
        <v>47.7</v>
      </c>
      <c r="K370" s="419">
        <f t="shared" si="94"/>
        <v>9.5399999999999991</v>
      </c>
      <c r="L370" s="420">
        <f t="shared" si="95"/>
        <v>57.24</v>
      </c>
      <c r="M370" s="64"/>
      <c r="N370" s="77">
        <v>6176.5919999999996</v>
      </c>
      <c r="O370" s="42">
        <v>10822.8</v>
      </c>
      <c r="P370" s="52">
        <v>0.33600000000000002</v>
      </c>
      <c r="Q370" s="52"/>
      <c r="R370" s="22">
        <f>C370/0.25*0.65</f>
        <v>2.4960000000000003E-2</v>
      </c>
    </row>
    <row r="371" spans="1:18" s="20" customFormat="1" ht="242.25" hidden="1" x14ac:dyDescent="0.2">
      <c r="A371" s="421" t="s">
        <v>366</v>
      </c>
      <c r="B371" s="445" t="s">
        <v>411</v>
      </c>
      <c r="C371" s="445">
        <v>0.2888</v>
      </c>
      <c r="D371" s="422">
        <v>1</v>
      </c>
      <c r="E371" s="422">
        <f t="shared" si="90"/>
        <v>0.2888</v>
      </c>
      <c r="F371" s="422">
        <v>262.08</v>
      </c>
      <c r="G371" s="418">
        <f t="shared" si="91"/>
        <v>218.4</v>
      </c>
      <c r="H371" s="422">
        <v>13.6172</v>
      </c>
      <c r="I371" s="416">
        <f t="shared" si="92"/>
        <v>2974</v>
      </c>
      <c r="J371" s="418">
        <f t="shared" si="93"/>
        <v>858.89</v>
      </c>
      <c r="K371" s="419">
        <f t="shared" si="94"/>
        <v>171.78</v>
      </c>
      <c r="L371" s="420">
        <f t="shared" si="95"/>
        <v>1030.67</v>
      </c>
      <c r="M371" s="64"/>
      <c r="N371" s="77">
        <v>52.811999999999998</v>
      </c>
      <c r="O371" s="42">
        <v>92.53</v>
      </c>
      <c r="P371" s="36">
        <v>2.5000000000000001E-4</v>
      </c>
      <c r="Q371" s="52">
        <v>3200</v>
      </c>
      <c r="R371" s="22"/>
    </row>
    <row r="372" spans="1:18" s="20" customFormat="1" ht="51" hidden="1" x14ac:dyDescent="0.2">
      <c r="A372" s="421" t="s">
        <v>356</v>
      </c>
      <c r="B372" s="445" t="s">
        <v>355</v>
      </c>
      <c r="C372" s="447">
        <f>R373</f>
        <v>1.8772000000000004E-2</v>
      </c>
      <c r="D372" s="422">
        <v>1</v>
      </c>
      <c r="E372" s="422">
        <f t="shared" si="90"/>
        <v>1.8772000000000004E-2</v>
      </c>
      <c r="F372" s="422">
        <v>19696.099999999999</v>
      </c>
      <c r="G372" s="418">
        <f t="shared" si="91"/>
        <v>16413.416666666668</v>
      </c>
      <c r="H372" s="422">
        <v>13.6172</v>
      </c>
      <c r="I372" s="416">
        <f t="shared" si="92"/>
        <v>223504.78</v>
      </c>
      <c r="J372" s="418">
        <f t="shared" si="93"/>
        <v>4195.63</v>
      </c>
      <c r="K372" s="419">
        <f t="shared" si="94"/>
        <v>839.13</v>
      </c>
      <c r="L372" s="420">
        <f t="shared" si="95"/>
        <v>5034.76</v>
      </c>
      <c r="M372" s="73" t="s">
        <v>532</v>
      </c>
      <c r="N372" s="77">
        <v>950.952</v>
      </c>
      <c r="O372" s="42">
        <v>1666.27</v>
      </c>
      <c r="P372" s="52"/>
      <c r="Q372" s="52"/>
      <c r="R372" s="22"/>
    </row>
    <row r="373" spans="1:18" s="20" customFormat="1" ht="51" hidden="1" x14ac:dyDescent="0.2">
      <c r="A373" s="421" t="s">
        <v>357</v>
      </c>
      <c r="B373" s="423" t="s">
        <v>355</v>
      </c>
      <c r="C373" s="423">
        <f>C371*P375*Q375</f>
        <v>7.2200000000000007E-3</v>
      </c>
      <c r="D373" s="422">
        <v>1</v>
      </c>
      <c r="E373" s="422">
        <f t="shared" si="90"/>
        <v>7.2200000000000007E-3</v>
      </c>
      <c r="F373" s="422">
        <v>437.82</v>
      </c>
      <c r="G373" s="418">
        <f t="shared" si="91"/>
        <v>364.85</v>
      </c>
      <c r="H373" s="422">
        <v>13.6172</v>
      </c>
      <c r="I373" s="416">
        <f t="shared" si="92"/>
        <v>4968.24</v>
      </c>
      <c r="J373" s="418">
        <f t="shared" si="93"/>
        <v>35.869999999999997</v>
      </c>
      <c r="K373" s="419">
        <f t="shared" si="94"/>
        <v>7.17</v>
      </c>
      <c r="L373" s="420">
        <f t="shared" si="95"/>
        <v>43.04</v>
      </c>
      <c r="M373" s="134">
        <v>17204.11</v>
      </c>
      <c r="N373" s="77">
        <v>4645.32</v>
      </c>
      <c r="O373" s="42">
        <v>8139.65</v>
      </c>
      <c r="P373" s="52">
        <v>7.8E-2</v>
      </c>
      <c r="Q373" s="52"/>
      <c r="R373" s="22">
        <f>C373/0.25*0.65</f>
        <v>1.8772000000000004E-2</v>
      </c>
    </row>
    <row r="374" spans="1:18" s="20" customFormat="1" ht="12.75" hidden="1" x14ac:dyDescent="0.2">
      <c r="A374" s="421"/>
      <c r="B374" s="423"/>
      <c r="C374" s="423"/>
      <c r="D374" s="422"/>
      <c r="E374" s="422"/>
      <c r="F374" s="422"/>
      <c r="G374" s="418"/>
      <c r="H374" s="422"/>
      <c r="I374" s="416"/>
      <c r="J374" s="418"/>
      <c r="K374" s="485"/>
      <c r="L374" s="420">
        <f>SUM(L229:L373)</f>
        <v>29640752.73</v>
      </c>
      <c r="M374" s="134">
        <f>L374/1.2</f>
        <v>24700627.275000002</v>
      </c>
      <c r="N374" s="77"/>
      <c r="O374" s="42"/>
      <c r="P374" s="52"/>
      <c r="Q374" s="52"/>
      <c r="R374" s="22"/>
    </row>
    <row r="375" spans="1:18" s="185" customFormat="1" ht="25.5" hidden="1" x14ac:dyDescent="0.2">
      <c r="A375" s="237" t="s">
        <v>451</v>
      </c>
      <c r="B375" s="240"/>
      <c r="C375" s="239"/>
      <c r="D375" s="239"/>
      <c r="E375" s="262"/>
      <c r="F375" s="239"/>
      <c r="G375" s="239"/>
      <c r="H375" s="239"/>
      <c r="I375" s="239"/>
      <c r="J375" s="263">
        <f>SUM(J229:J373)+0.019</f>
        <v>24700627.279000018</v>
      </c>
      <c r="K375" s="264">
        <f>ROUND(J375*0.2,2)-0.009</f>
        <v>4940125.4510000004</v>
      </c>
      <c r="L375" s="265">
        <f>J375+K375</f>
        <v>29640752.730000019</v>
      </c>
      <c r="M375" s="483"/>
      <c r="N375" s="9">
        <v>39.72</v>
      </c>
      <c r="O375" s="42">
        <v>69.59</v>
      </c>
      <c r="P375" s="184">
        <v>2.5000000000000001E-4</v>
      </c>
      <c r="Q375" s="42">
        <v>100</v>
      </c>
    </row>
    <row r="376" spans="1:18" s="39" customFormat="1" ht="12.75" hidden="1" x14ac:dyDescent="0.2">
      <c r="A376" s="235" t="s">
        <v>208</v>
      </c>
      <c r="B376" s="487"/>
      <c r="C376" s="487"/>
      <c r="D376" s="487"/>
      <c r="E376" s="487"/>
      <c r="F376" s="487"/>
      <c r="G376" s="487"/>
      <c r="H376" s="487"/>
      <c r="I376" s="487"/>
      <c r="J376" s="416"/>
      <c r="K376" s="419"/>
      <c r="L376" s="419"/>
      <c r="M376" s="484"/>
      <c r="N376" s="99">
        <v>7466461.0960000008</v>
      </c>
      <c r="O376" s="37">
        <v>20495023.790000007</v>
      </c>
      <c r="P376" s="38"/>
      <c r="Q376" s="38"/>
      <c r="R376" s="41">
        <f>L362+L363+L364+L365+L366+L367+L368+L369+L371+L372+L373</f>
        <v>17989.810000000001</v>
      </c>
    </row>
    <row r="377" spans="1:18" s="20" customFormat="1" ht="25.5" hidden="1" x14ac:dyDescent="0.2">
      <c r="A377" s="219" t="s">
        <v>146</v>
      </c>
      <c r="B377" s="231"/>
      <c r="C377" s="438"/>
      <c r="D377" s="454"/>
      <c r="E377" s="455"/>
      <c r="F377" s="260"/>
      <c r="G377" s="260"/>
      <c r="H377" s="260"/>
      <c r="I377" s="260"/>
      <c r="J377" s="455"/>
      <c r="K377" s="456"/>
      <c r="L377" s="465"/>
      <c r="M377" s="110">
        <f>M379+M381</f>
        <v>17483850.879999999</v>
      </c>
      <c r="N377" s="100"/>
      <c r="O377" s="18"/>
      <c r="P377" s="22" t="s">
        <v>318</v>
      </c>
      <c r="Q377" s="22" t="s">
        <v>319</v>
      </c>
      <c r="R377" s="22" t="s">
        <v>320</v>
      </c>
    </row>
    <row r="378" spans="1:18" s="20" customFormat="1" ht="38.25" hidden="1" x14ac:dyDescent="0.2">
      <c r="A378" s="224" t="s">
        <v>147</v>
      </c>
      <c r="B378" s="436"/>
      <c r="C378" s="223"/>
      <c r="D378" s="399"/>
      <c r="E378" s="260"/>
      <c r="F378" s="415"/>
      <c r="G378" s="415"/>
      <c r="H378" s="415"/>
      <c r="I378" s="415"/>
      <c r="J378" s="260"/>
      <c r="K378" s="78"/>
      <c r="L378" s="23"/>
      <c r="M378" s="110" t="s">
        <v>408</v>
      </c>
      <c r="N378" s="101"/>
      <c r="O378" s="18"/>
      <c r="P378" s="19"/>
      <c r="Q378" s="19" t="e">
        <f>#REF!+#REF!+#REF!+#REF!+#REF!+#REF!+#REF!+#REF!+#REF!+#REF!+#REF!+#REF!+#REF!+#REF!+#REF!+#REF!+#REF!+#REF!+#REF!+#REF!+#REF!+#REF!</f>
        <v>#REF!</v>
      </c>
      <c r="R378" s="19" t="e">
        <f>L454+L455+L456+#REF!+#REF!+#REF!+L457+L459+L460+L461+#REF!+#REF!+#REF!+L462+L474+L475+L476+L477+L478+L479+#REF!+#REF!+L480+L491+L492+L493+L494+L495+L496+#REF!+#REF!+L497+L508+L509+L510+L511+L512+L513+#REF!+#REF!+#REF!</f>
        <v>#REF!</v>
      </c>
    </row>
    <row r="379" spans="1:18" s="20" customFormat="1" ht="25.5" hidden="1" x14ac:dyDescent="0.2">
      <c r="A379" s="440" t="s">
        <v>457</v>
      </c>
      <c r="B379" s="436" t="s">
        <v>519</v>
      </c>
      <c r="C379" s="466">
        <v>100</v>
      </c>
      <c r="D379" s="467">
        <v>1</v>
      </c>
      <c r="E379" s="422">
        <f>ROUND(C379*D379,2)</f>
        <v>100</v>
      </c>
      <c r="F379" s="415"/>
      <c r="G379" s="416">
        <v>8.66</v>
      </c>
      <c r="H379" s="417">
        <v>2.0764999999999998</v>
      </c>
      <c r="I379" s="416">
        <f t="shared" ref="I379:I390" si="96">ROUND(G379*H379,2)</f>
        <v>17.98</v>
      </c>
      <c r="J379" s="418">
        <f t="shared" ref="J379:J389" si="97">ROUND(I379*E379,2)</f>
        <v>1798</v>
      </c>
      <c r="K379" s="419">
        <f t="shared" ref="K379:K389" si="98">ROUND(J379*0.2,2)</f>
        <v>359.6</v>
      </c>
      <c r="L379" s="420">
        <f t="shared" ref="L379:L389" si="99">ROUND(J379+K379,2)</f>
        <v>2157.6</v>
      </c>
      <c r="M379" s="150">
        <f>6724908.74+M466+M486+M503+M578+N384</f>
        <v>7228645.4380000001</v>
      </c>
      <c r="N379" s="98"/>
      <c r="O379" s="18"/>
      <c r="P379" s="22"/>
      <c r="Q379" s="60" t="e">
        <f>Q378*0.3/0.7</f>
        <v>#REF!</v>
      </c>
      <c r="R379" s="60" t="e">
        <f>R378*0.3/0.7</f>
        <v>#REF!</v>
      </c>
    </row>
    <row r="380" spans="1:18" s="20" customFormat="1" ht="51" hidden="1" x14ac:dyDescent="0.2">
      <c r="A380" s="440" t="s">
        <v>459</v>
      </c>
      <c r="B380" s="436" t="s">
        <v>513</v>
      </c>
      <c r="C380" s="466">
        <v>1</v>
      </c>
      <c r="D380" s="467">
        <v>1</v>
      </c>
      <c r="E380" s="422">
        <f>ROUND(C380*D380,2)</f>
        <v>1</v>
      </c>
      <c r="F380" s="415"/>
      <c r="G380" s="416">
        <v>55423.41</v>
      </c>
      <c r="H380" s="417">
        <v>2.0764999999999998</v>
      </c>
      <c r="I380" s="416">
        <f t="shared" si="96"/>
        <v>115086.71</v>
      </c>
      <c r="J380" s="418">
        <f t="shared" si="97"/>
        <v>115086.71</v>
      </c>
      <c r="K380" s="419">
        <f t="shared" si="98"/>
        <v>23017.34</v>
      </c>
      <c r="L380" s="420">
        <f t="shared" si="99"/>
        <v>138104.04999999999</v>
      </c>
      <c r="M380" s="110" t="s">
        <v>409</v>
      </c>
      <c r="N380" s="98"/>
      <c r="O380" s="18"/>
      <c r="P380" s="22"/>
      <c r="Q380" s="60"/>
      <c r="R380" s="60"/>
    </row>
    <row r="381" spans="1:18" s="20" customFormat="1" ht="38.25" hidden="1" x14ac:dyDescent="0.2">
      <c r="A381" s="440" t="s">
        <v>461</v>
      </c>
      <c r="B381" s="436" t="s">
        <v>513</v>
      </c>
      <c r="C381" s="466">
        <v>1</v>
      </c>
      <c r="D381" s="467">
        <v>1</v>
      </c>
      <c r="E381" s="422">
        <f>ROUND(C381*D381,2)</f>
        <v>1</v>
      </c>
      <c r="F381" s="415"/>
      <c r="G381" s="416">
        <v>1959.47</v>
      </c>
      <c r="H381" s="417">
        <v>2.0764999999999998</v>
      </c>
      <c r="I381" s="416">
        <f t="shared" si="96"/>
        <v>4068.84</v>
      </c>
      <c r="J381" s="418">
        <f t="shared" si="97"/>
        <v>4068.84</v>
      </c>
      <c r="K381" s="419">
        <f t="shared" si="98"/>
        <v>813.77</v>
      </c>
      <c r="L381" s="420">
        <f t="shared" si="99"/>
        <v>4882.6099999999997</v>
      </c>
      <c r="M381" s="135">
        <f>9872941.92+M471+M488+M506+O384</f>
        <v>10255205.442</v>
      </c>
      <c r="N381" s="98"/>
      <c r="O381" s="18"/>
      <c r="P381" s="22"/>
      <c r="Q381" s="60"/>
      <c r="R381" s="60"/>
    </row>
    <row r="382" spans="1:18" s="20" customFormat="1" ht="51" hidden="1" x14ac:dyDescent="0.2">
      <c r="A382" s="421" t="s">
        <v>76</v>
      </c>
      <c r="B382" s="422" t="s">
        <v>425</v>
      </c>
      <c r="C382" s="422">
        <v>65.671999999999997</v>
      </c>
      <c r="D382" s="422">
        <v>1</v>
      </c>
      <c r="E382" s="422">
        <f>ROUND(C382*D382,2)</f>
        <v>65.67</v>
      </c>
      <c r="F382" s="422"/>
      <c r="G382" s="416">
        <v>343.08</v>
      </c>
      <c r="H382" s="417">
        <v>2.0764999999999998</v>
      </c>
      <c r="I382" s="416">
        <f t="shared" si="96"/>
        <v>712.41</v>
      </c>
      <c r="J382" s="418">
        <f t="shared" si="97"/>
        <v>46783.96</v>
      </c>
      <c r="K382" s="419">
        <f t="shared" si="98"/>
        <v>9356.7900000000009</v>
      </c>
      <c r="L382" s="420">
        <f t="shared" si="99"/>
        <v>56140.75</v>
      </c>
      <c r="M382" s="110" t="s">
        <v>533</v>
      </c>
      <c r="N382" s="98"/>
      <c r="O382" s="18"/>
      <c r="P382" s="22"/>
      <c r="Q382" s="60"/>
      <c r="R382" s="60"/>
    </row>
    <row r="383" spans="1:18" s="20" customFormat="1" ht="127.5" hidden="1" x14ac:dyDescent="0.2">
      <c r="A383" s="421" t="s">
        <v>336</v>
      </c>
      <c r="B383" s="422" t="s">
        <v>425</v>
      </c>
      <c r="C383" s="422">
        <v>51.85</v>
      </c>
      <c r="D383" s="422">
        <v>3</v>
      </c>
      <c r="E383" s="422">
        <f t="shared" ref="E383:E390" si="100">ROUND(C383*D383,2)</f>
        <v>155.55000000000001</v>
      </c>
      <c r="F383" s="422"/>
      <c r="G383" s="416">
        <v>188.57</v>
      </c>
      <c r="H383" s="417">
        <v>2.0764999999999998</v>
      </c>
      <c r="I383" s="416">
        <f t="shared" si="96"/>
        <v>391.57</v>
      </c>
      <c r="J383" s="418">
        <f t="shared" si="97"/>
        <v>60908.71</v>
      </c>
      <c r="K383" s="419">
        <f t="shared" si="98"/>
        <v>12181.74</v>
      </c>
      <c r="L383" s="420">
        <f t="shared" si="99"/>
        <v>73090.45</v>
      </c>
      <c r="M383" s="156">
        <f>M457+M462+M480+M497+M512</f>
        <v>537774.47</v>
      </c>
      <c r="N383" s="77"/>
      <c r="O383" s="18">
        <v>72147.69</v>
      </c>
      <c r="P383" s="19"/>
      <c r="Q383" s="22"/>
      <c r="R383" s="22"/>
    </row>
    <row r="384" spans="1:18" s="20" customFormat="1" ht="89.25" hidden="1" x14ac:dyDescent="0.2">
      <c r="A384" s="421" t="s">
        <v>78</v>
      </c>
      <c r="B384" s="422" t="s">
        <v>425</v>
      </c>
      <c r="C384" s="422">
        <v>382.62</v>
      </c>
      <c r="D384" s="422">
        <v>3</v>
      </c>
      <c r="E384" s="422">
        <f t="shared" si="100"/>
        <v>1147.8599999999999</v>
      </c>
      <c r="F384" s="422"/>
      <c r="G384" s="416">
        <v>188.57</v>
      </c>
      <c r="H384" s="417">
        <v>2.0764999999999998</v>
      </c>
      <c r="I384" s="416">
        <f t="shared" si="96"/>
        <v>391.57</v>
      </c>
      <c r="J384" s="418">
        <f t="shared" si="97"/>
        <v>449467.54</v>
      </c>
      <c r="K384" s="419">
        <f t="shared" si="98"/>
        <v>89893.51</v>
      </c>
      <c r="L384" s="420">
        <f t="shared" si="99"/>
        <v>539361.05000000005</v>
      </c>
      <c r="M384" s="64"/>
      <c r="N384" s="77">
        <f>M383*0.4</f>
        <v>215109.788</v>
      </c>
      <c r="O384" s="157">
        <f>M383-N384</f>
        <v>322664.68199999997</v>
      </c>
      <c r="P384" s="51"/>
      <c r="Q384" s="22"/>
      <c r="R384" s="22"/>
    </row>
    <row r="385" spans="1:18" s="20" customFormat="1" ht="76.5" hidden="1" x14ac:dyDescent="0.2">
      <c r="A385" s="421" t="s">
        <v>79</v>
      </c>
      <c r="B385" s="422" t="s">
        <v>354</v>
      </c>
      <c r="C385" s="422">
        <v>156.32</v>
      </c>
      <c r="D385" s="422">
        <v>1</v>
      </c>
      <c r="E385" s="422">
        <f t="shared" si="100"/>
        <v>156.32</v>
      </c>
      <c r="F385" s="422"/>
      <c r="G385" s="416">
        <v>188.57</v>
      </c>
      <c r="H385" s="417">
        <v>2.0764999999999998</v>
      </c>
      <c r="I385" s="416">
        <f t="shared" si="96"/>
        <v>391.57</v>
      </c>
      <c r="J385" s="418">
        <f t="shared" si="97"/>
        <v>61210.22</v>
      </c>
      <c r="K385" s="419">
        <f t="shared" si="98"/>
        <v>12242.04</v>
      </c>
      <c r="L385" s="420">
        <f t="shared" si="99"/>
        <v>73452.259999999995</v>
      </c>
      <c r="M385" s="64"/>
      <c r="N385" s="77"/>
      <c r="O385" s="18">
        <v>231041.26</v>
      </c>
      <c r="P385" s="22"/>
      <c r="Q385" s="22"/>
      <c r="R385" s="22"/>
    </row>
    <row r="386" spans="1:18" s="20" customFormat="1" ht="63.75" hidden="1" x14ac:dyDescent="0.2">
      <c r="A386" s="411" t="s">
        <v>64</v>
      </c>
      <c r="B386" s="422" t="s">
        <v>411</v>
      </c>
      <c r="C386" s="422">
        <f>13.86+17.4+0.94</f>
        <v>32.199999999999996</v>
      </c>
      <c r="D386" s="422">
        <v>3</v>
      </c>
      <c r="E386" s="422">
        <f t="shared" si="100"/>
        <v>96.6</v>
      </c>
      <c r="F386" s="422"/>
      <c r="G386" s="416">
        <v>44.32</v>
      </c>
      <c r="H386" s="417">
        <v>2.0764999999999998</v>
      </c>
      <c r="I386" s="416">
        <f t="shared" si="96"/>
        <v>92.03</v>
      </c>
      <c r="J386" s="418">
        <f t="shared" si="97"/>
        <v>8890.1</v>
      </c>
      <c r="K386" s="419">
        <f t="shared" si="98"/>
        <v>1778.02</v>
      </c>
      <c r="L386" s="420">
        <f t="shared" si="99"/>
        <v>10668.12</v>
      </c>
      <c r="M386" s="64"/>
      <c r="N386" s="77"/>
      <c r="O386" s="18"/>
      <c r="P386" s="22"/>
      <c r="Q386" s="22"/>
      <c r="R386" s="22"/>
    </row>
    <row r="387" spans="1:18" s="20" customFormat="1" ht="25.5" hidden="1" x14ac:dyDescent="0.2">
      <c r="A387" s="421" t="s">
        <v>80</v>
      </c>
      <c r="B387" s="422" t="s">
        <v>411</v>
      </c>
      <c r="C387" s="422">
        <v>9.6</v>
      </c>
      <c r="D387" s="422">
        <v>3</v>
      </c>
      <c r="E387" s="422">
        <f t="shared" si="100"/>
        <v>28.8</v>
      </c>
      <c r="F387" s="422"/>
      <c r="G387" s="416">
        <v>66.5</v>
      </c>
      <c r="H387" s="417">
        <v>2.0764999999999998</v>
      </c>
      <c r="I387" s="416">
        <f t="shared" si="96"/>
        <v>138.09</v>
      </c>
      <c r="J387" s="418">
        <f t="shared" si="97"/>
        <v>3976.99</v>
      </c>
      <c r="K387" s="419">
        <f t="shared" si="98"/>
        <v>795.4</v>
      </c>
      <c r="L387" s="420">
        <f t="shared" si="99"/>
        <v>4772.3900000000003</v>
      </c>
      <c r="M387" s="64"/>
      <c r="N387" s="77"/>
      <c r="O387" s="18">
        <v>1118.33</v>
      </c>
      <c r="P387" s="22"/>
      <c r="Q387" s="22"/>
      <c r="R387" s="22"/>
    </row>
    <row r="388" spans="1:18" s="20" customFormat="1" ht="76.5" hidden="1" x14ac:dyDescent="0.2">
      <c r="A388" s="421" t="s">
        <v>105</v>
      </c>
      <c r="B388" s="422" t="s">
        <v>422</v>
      </c>
      <c r="C388" s="422">
        <v>4</v>
      </c>
      <c r="D388" s="422">
        <v>3</v>
      </c>
      <c r="E388" s="422">
        <f t="shared" si="100"/>
        <v>12</v>
      </c>
      <c r="F388" s="422"/>
      <c r="G388" s="416">
        <v>218.45</v>
      </c>
      <c r="H388" s="417">
        <v>2.0764999999999998</v>
      </c>
      <c r="I388" s="416">
        <f t="shared" si="96"/>
        <v>453.61</v>
      </c>
      <c r="J388" s="418">
        <f t="shared" si="97"/>
        <v>5443.32</v>
      </c>
      <c r="K388" s="419">
        <f t="shared" si="98"/>
        <v>1088.6600000000001</v>
      </c>
      <c r="L388" s="420">
        <f t="shared" si="99"/>
        <v>6531.98</v>
      </c>
      <c r="M388" s="64"/>
      <c r="N388" s="77"/>
      <c r="O388" s="18">
        <v>2044.03</v>
      </c>
      <c r="P388" s="22"/>
      <c r="Q388" s="22"/>
      <c r="R388" s="22"/>
    </row>
    <row r="389" spans="1:18" s="20" customFormat="1" ht="51" hidden="1" x14ac:dyDescent="0.2">
      <c r="A389" s="421" t="s">
        <v>106</v>
      </c>
      <c r="B389" s="422" t="s">
        <v>354</v>
      </c>
      <c r="C389" s="422">
        <v>233.32</v>
      </c>
      <c r="D389" s="422">
        <v>3</v>
      </c>
      <c r="E389" s="422">
        <f t="shared" si="100"/>
        <v>699.96</v>
      </c>
      <c r="F389" s="422"/>
      <c r="G389" s="416">
        <v>241.57</v>
      </c>
      <c r="H389" s="417">
        <v>2.0764999999999998</v>
      </c>
      <c r="I389" s="416">
        <f t="shared" si="96"/>
        <v>501.62</v>
      </c>
      <c r="J389" s="418">
        <f t="shared" si="97"/>
        <v>351113.94</v>
      </c>
      <c r="K389" s="419">
        <f t="shared" si="98"/>
        <v>70222.789999999994</v>
      </c>
      <c r="L389" s="420">
        <f t="shared" si="99"/>
        <v>421336.73</v>
      </c>
      <c r="M389" s="64"/>
      <c r="N389" s="77"/>
      <c r="O389" s="18">
        <v>4197.24</v>
      </c>
      <c r="P389" s="22"/>
      <c r="Q389" s="22"/>
      <c r="R389" s="22"/>
    </row>
    <row r="390" spans="1:18" s="20" customFormat="1" ht="38.25" hidden="1" x14ac:dyDescent="0.2">
      <c r="A390" s="411" t="s">
        <v>504</v>
      </c>
      <c r="B390" s="422" t="s">
        <v>355</v>
      </c>
      <c r="C390" s="422">
        <v>4</v>
      </c>
      <c r="D390" s="422">
        <v>3</v>
      </c>
      <c r="E390" s="422">
        <f t="shared" si="100"/>
        <v>12</v>
      </c>
      <c r="F390" s="416"/>
      <c r="G390" s="416">
        <v>4405.2299999999996</v>
      </c>
      <c r="H390" s="417">
        <v>1.0680000000000001</v>
      </c>
      <c r="I390" s="416">
        <f t="shared" si="96"/>
        <v>4704.79</v>
      </c>
      <c r="J390" s="418">
        <f>ROUND(I390*E390,2)</f>
        <v>56457.48</v>
      </c>
      <c r="K390" s="419">
        <f>ROUND(J390*0.2,2)</f>
        <v>11291.5</v>
      </c>
      <c r="L390" s="420">
        <f>ROUND(K390+J390,2)</f>
        <v>67748.98</v>
      </c>
      <c r="M390" s="64"/>
      <c r="N390" s="77"/>
      <c r="O390" s="18">
        <v>270730.53000000003</v>
      </c>
      <c r="P390" s="22"/>
      <c r="Q390" s="22"/>
      <c r="R390" s="22"/>
    </row>
    <row r="391" spans="1:18" s="20" customFormat="1" ht="25.5" hidden="1" x14ac:dyDescent="0.2">
      <c r="A391" s="219" t="s">
        <v>81</v>
      </c>
      <c r="B391" s="422"/>
      <c r="C391" s="422"/>
      <c r="D391" s="422"/>
      <c r="E391" s="422"/>
      <c r="F391" s="422"/>
      <c r="G391" s="416"/>
      <c r="H391" s="417"/>
      <c r="I391" s="416"/>
      <c r="J391" s="418"/>
      <c r="K391" s="419"/>
      <c r="L391" s="420"/>
      <c r="M391" s="73" t="s">
        <v>0</v>
      </c>
      <c r="N391" s="77"/>
      <c r="O391" s="18"/>
      <c r="P391" s="22"/>
      <c r="Q391" s="22"/>
      <c r="R391" s="22"/>
    </row>
    <row r="392" spans="1:18" s="20" customFormat="1" ht="114.75" hidden="1" x14ac:dyDescent="0.2">
      <c r="A392" s="421" t="s">
        <v>107</v>
      </c>
      <c r="B392" s="422" t="s">
        <v>411</v>
      </c>
      <c r="C392" s="422">
        <f>16.06*0.5</f>
        <v>8.0299999999999994</v>
      </c>
      <c r="D392" s="422">
        <v>1</v>
      </c>
      <c r="E392" s="422">
        <f t="shared" ref="E392:E397" si="101">ROUND(C392*D392,2)</f>
        <v>8.0299999999999994</v>
      </c>
      <c r="F392" s="422"/>
      <c r="G392" s="416">
        <v>64649.39</v>
      </c>
      <c r="H392" s="417">
        <v>2.0764999999999998</v>
      </c>
      <c r="I392" s="416">
        <f t="shared" ref="I392:I397" si="102">ROUND(G392*H392,2)</f>
        <v>134244.46</v>
      </c>
      <c r="J392" s="418">
        <f t="shared" ref="J392:J397" si="103">ROUND(I392*E392,2)</f>
        <v>1077983.01</v>
      </c>
      <c r="K392" s="419">
        <f t="shared" ref="K392:K400" si="104">ROUND(J392*0.2,2)</f>
        <v>215596.6</v>
      </c>
      <c r="L392" s="420">
        <f t="shared" ref="L392:L400" si="105">ROUND(J392+K392,2)</f>
        <v>1293579.6100000001</v>
      </c>
      <c r="M392" s="146">
        <f>L392+L393+L394</f>
        <v>2764817.7600000002</v>
      </c>
      <c r="N392" s="77"/>
      <c r="O392" s="18"/>
      <c r="P392" s="22"/>
      <c r="Q392" s="22"/>
      <c r="R392" s="22"/>
    </row>
    <row r="393" spans="1:18" s="20" customFormat="1" ht="127.5" hidden="1" x14ac:dyDescent="0.2">
      <c r="A393" s="421" t="s">
        <v>108</v>
      </c>
      <c r="B393" s="422" t="s">
        <v>411</v>
      </c>
      <c r="C393" s="422">
        <f>12.06*0.4</f>
        <v>4.8240000000000007</v>
      </c>
      <c r="D393" s="422">
        <v>1</v>
      </c>
      <c r="E393" s="422">
        <f t="shared" si="101"/>
        <v>4.82</v>
      </c>
      <c r="F393" s="422"/>
      <c r="G393" s="416">
        <v>77125.899999999994</v>
      </c>
      <c r="H393" s="417">
        <v>2.0764999999999998</v>
      </c>
      <c r="I393" s="416">
        <f t="shared" si="102"/>
        <v>160151.93</v>
      </c>
      <c r="J393" s="418">
        <f t="shared" si="103"/>
        <v>771932.3</v>
      </c>
      <c r="K393" s="419">
        <f t="shared" si="104"/>
        <v>154386.46</v>
      </c>
      <c r="L393" s="420">
        <f t="shared" si="105"/>
        <v>926318.76</v>
      </c>
      <c r="M393" s="64"/>
      <c r="N393" s="77">
        <v>832014.73</v>
      </c>
      <c r="O393" s="18">
        <v>1662404.33</v>
      </c>
      <c r="P393" s="63">
        <f>1606547*0.0005/100</f>
        <v>8.0327350000000006</v>
      </c>
      <c r="Q393" s="22">
        <v>1606.547</v>
      </c>
      <c r="R393" s="22"/>
    </row>
    <row r="394" spans="1:18" s="20" customFormat="1" ht="38.25" hidden="1" x14ac:dyDescent="0.2">
      <c r="A394" s="421" t="s">
        <v>103</v>
      </c>
      <c r="B394" s="422" t="s">
        <v>437</v>
      </c>
      <c r="C394" s="422">
        <f>2309*0.3</f>
        <v>692.69999999999993</v>
      </c>
      <c r="D394" s="422">
        <v>1</v>
      </c>
      <c r="E394" s="422">
        <f t="shared" si="101"/>
        <v>692.7</v>
      </c>
      <c r="F394" s="422"/>
      <c r="G394" s="416">
        <v>315.7</v>
      </c>
      <c r="H394" s="417">
        <v>2.0764999999999998</v>
      </c>
      <c r="I394" s="416">
        <f t="shared" si="102"/>
        <v>655.55</v>
      </c>
      <c r="J394" s="418">
        <f t="shared" si="103"/>
        <v>454099.49</v>
      </c>
      <c r="K394" s="419">
        <f t="shared" si="104"/>
        <v>90819.9</v>
      </c>
      <c r="L394" s="420">
        <f t="shared" si="105"/>
        <v>544919.39</v>
      </c>
      <c r="M394" s="64"/>
      <c r="N394" s="77">
        <v>745364.36</v>
      </c>
      <c r="O394" s="18">
        <v>1489272.88</v>
      </c>
      <c r="P394" s="22">
        <f>P393/2</f>
        <v>4.0163675000000003</v>
      </c>
      <c r="Q394" s="22"/>
      <c r="R394" s="22"/>
    </row>
    <row r="395" spans="1:18" s="20" customFormat="1" ht="38.25" hidden="1" x14ac:dyDescent="0.2">
      <c r="A395" s="421" t="s">
        <v>82</v>
      </c>
      <c r="B395" s="422" t="s">
        <v>433</v>
      </c>
      <c r="C395" s="422">
        <f>1645*0.5</f>
        <v>822.5</v>
      </c>
      <c r="D395" s="422">
        <v>1</v>
      </c>
      <c r="E395" s="422">
        <f t="shared" si="101"/>
        <v>822.5</v>
      </c>
      <c r="F395" s="422"/>
      <c r="G395" s="416">
        <v>35.799999999999997</v>
      </c>
      <c r="H395" s="417">
        <v>2.0764999999999998</v>
      </c>
      <c r="I395" s="416">
        <f t="shared" si="102"/>
        <v>74.34</v>
      </c>
      <c r="J395" s="418">
        <f t="shared" si="103"/>
        <v>61144.65</v>
      </c>
      <c r="K395" s="419">
        <f t="shared" si="104"/>
        <v>12228.93</v>
      </c>
      <c r="L395" s="420">
        <f t="shared" si="105"/>
        <v>73373.58</v>
      </c>
      <c r="M395" s="64"/>
      <c r="N395" s="77">
        <v>584167.76</v>
      </c>
      <c r="O395" s="18">
        <v>1167176.4099999999</v>
      </c>
      <c r="P395" s="22"/>
      <c r="Q395" s="22"/>
      <c r="R395" s="22"/>
    </row>
    <row r="396" spans="1:18" s="20" customFormat="1" ht="76.5" hidden="1" x14ac:dyDescent="0.2">
      <c r="A396" s="421" t="s">
        <v>110</v>
      </c>
      <c r="B396" s="422" t="s">
        <v>432</v>
      </c>
      <c r="C396" s="422">
        <v>468.96</v>
      </c>
      <c r="D396" s="422">
        <v>4</v>
      </c>
      <c r="E396" s="422">
        <f t="shared" si="101"/>
        <v>1875.84</v>
      </c>
      <c r="F396" s="422"/>
      <c r="G396" s="416">
        <v>283.41000000000003</v>
      </c>
      <c r="H396" s="417">
        <v>2.0764999999999998</v>
      </c>
      <c r="I396" s="416">
        <f t="shared" si="102"/>
        <v>588.5</v>
      </c>
      <c r="J396" s="418">
        <f t="shared" si="103"/>
        <v>1103931.8400000001</v>
      </c>
      <c r="K396" s="419">
        <f t="shared" si="104"/>
        <v>220786.37</v>
      </c>
      <c r="L396" s="420">
        <f t="shared" si="105"/>
        <v>1324718.21</v>
      </c>
      <c r="M396" s="64"/>
      <c r="N396" s="77">
        <v>188850.74</v>
      </c>
      <c r="O396" s="18">
        <v>188663.16</v>
      </c>
      <c r="P396" s="22"/>
      <c r="Q396" s="22"/>
      <c r="R396" s="22"/>
    </row>
    <row r="397" spans="1:18" s="20" customFormat="1" ht="38.25" hidden="1" x14ac:dyDescent="0.2">
      <c r="A397" s="458" t="s">
        <v>464</v>
      </c>
      <c r="B397" s="416" t="s">
        <v>118</v>
      </c>
      <c r="C397" s="422">
        <v>1</v>
      </c>
      <c r="D397" s="422">
        <v>1</v>
      </c>
      <c r="E397" s="422">
        <f t="shared" si="101"/>
        <v>1</v>
      </c>
      <c r="F397" s="416"/>
      <c r="G397" s="416">
        <v>38457.4</v>
      </c>
      <c r="H397" s="417">
        <v>2.0764999999999998</v>
      </c>
      <c r="I397" s="416">
        <f t="shared" si="102"/>
        <v>79856.789999999994</v>
      </c>
      <c r="J397" s="418">
        <f t="shared" si="103"/>
        <v>79856.789999999994</v>
      </c>
      <c r="K397" s="419">
        <f t="shared" si="104"/>
        <v>15971.36</v>
      </c>
      <c r="L397" s="420">
        <f t="shared" si="105"/>
        <v>95828.15</v>
      </c>
      <c r="M397" s="64"/>
      <c r="N397" s="77">
        <v>1278111.08</v>
      </c>
      <c r="O397" s="18">
        <v>851237.43</v>
      </c>
      <c r="P397" s="22"/>
      <c r="Q397" s="22"/>
      <c r="R397" s="22"/>
    </row>
    <row r="398" spans="1:18" s="20" customFormat="1" ht="38.25" hidden="1" x14ac:dyDescent="0.2">
      <c r="A398" s="219" t="s">
        <v>83</v>
      </c>
      <c r="B398" s="422"/>
      <c r="C398" s="422"/>
      <c r="D398" s="422"/>
      <c r="E398" s="422"/>
      <c r="F398" s="422"/>
      <c r="G398" s="416"/>
      <c r="H398" s="417"/>
      <c r="I398" s="416"/>
      <c r="J398" s="418"/>
      <c r="K398" s="419"/>
      <c r="L398" s="420"/>
      <c r="M398" s="64"/>
      <c r="N398" s="77"/>
      <c r="O398" s="18"/>
      <c r="P398" s="22"/>
      <c r="Q398" s="22"/>
      <c r="R398" s="22"/>
    </row>
    <row r="399" spans="1:18" s="20" customFormat="1" ht="25.5" hidden="1" x14ac:dyDescent="0.2">
      <c r="A399" s="421" t="s">
        <v>84</v>
      </c>
      <c r="B399" s="422" t="s">
        <v>433</v>
      </c>
      <c r="C399" s="422">
        <f>960</f>
        <v>960</v>
      </c>
      <c r="D399" s="422">
        <v>1</v>
      </c>
      <c r="E399" s="422">
        <f>ROUND(C399*D399,2)</f>
        <v>960</v>
      </c>
      <c r="F399" s="422"/>
      <c r="G399" s="416">
        <v>77.2</v>
      </c>
      <c r="H399" s="417">
        <v>2.0764999999999998</v>
      </c>
      <c r="I399" s="416">
        <f>ROUND(G399*H399,2)</f>
        <v>160.31</v>
      </c>
      <c r="J399" s="418">
        <f>ROUND(I399*E399,2)</f>
        <v>153897.60000000001</v>
      </c>
      <c r="K399" s="419">
        <f t="shared" si="104"/>
        <v>30779.52</v>
      </c>
      <c r="L399" s="420">
        <f t="shared" si="105"/>
        <v>184677.12</v>
      </c>
      <c r="M399" s="64"/>
      <c r="N399" s="77"/>
      <c r="O399" s="18"/>
      <c r="P399" s="22"/>
      <c r="Q399" s="22"/>
      <c r="R399" s="22"/>
    </row>
    <row r="400" spans="1:18" s="20" customFormat="1" ht="25.5" hidden="1" x14ac:dyDescent="0.2">
      <c r="A400" s="421" t="s">
        <v>85</v>
      </c>
      <c r="B400" s="422" t="s">
        <v>437</v>
      </c>
      <c r="C400" s="422">
        <f>93*0.3</f>
        <v>27.9</v>
      </c>
      <c r="D400" s="422">
        <v>1</v>
      </c>
      <c r="E400" s="422">
        <f>ROUND(C400*D400,2)</f>
        <v>27.9</v>
      </c>
      <c r="F400" s="422"/>
      <c r="G400" s="416">
        <v>1547.81</v>
      </c>
      <c r="H400" s="417">
        <v>2.0764999999999998</v>
      </c>
      <c r="I400" s="416">
        <f>ROUND(G400*H400,2)</f>
        <v>3214.03</v>
      </c>
      <c r="J400" s="418">
        <f>ROUND(I400*E400,2)</f>
        <v>89671.44</v>
      </c>
      <c r="K400" s="419">
        <f t="shared" si="104"/>
        <v>17934.29</v>
      </c>
      <c r="L400" s="420">
        <f t="shared" si="105"/>
        <v>107605.73</v>
      </c>
      <c r="M400" s="64"/>
      <c r="N400" s="77">
        <v>83139.839999999997</v>
      </c>
      <c r="O400" s="18">
        <v>83059.87</v>
      </c>
      <c r="P400" s="22"/>
      <c r="Q400" s="22"/>
      <c r="R400" s="22"/>
    </row>
    <row r="401" spans="1:18" s="20" customFormat="1" ht="38.25" hidden="1" x14ac:dyDescent="0.2">
      <c r="A401" s="219" t="s">
        <v>86</v>
      </c>
      <c r="B401" s="422"/>
      <c r="C401" s="422"/>
      <c r="D401" s="422"/>
      <c r="E401" s="422"/>
      <c r="F401" s="422"/>
      <c r="G401" s="416"/>
      <c r="H401" s="417"/>
      <c r="I401" s="416"/>
      <c r="J401" s="418"/>
      <c r="K401" s="419"/>
      <c r="L401" s="420"/>
      <c r="M401" s="64"/>
      <c r="N401" s="77">
        <v>115350.88</v>
      </c>
      <c r="O401" s="18">
        <v>115238.25</v>
      </c>
      <c r="P401" s="22"/>
      <c r="Q401" s="22"/>
      <c r="R401" s="22"/>
    </row>
    <row r="402" spans="1:18" s="20" customFormat="1" ht="25.5" hidden="1" x14ac:dyDescent="0.2">
      <c r="A402" s="421" t="s">
        <v>87</v>
      </c>
      <c r="B402" s="422" t="s">
        <v>422</v>
      </c>
      <c r="C402" s="422">
        <f>320</f>
        <v>320</v>
      </c>
      <c r="D402" s="422">
        <v>1</v>
      </c>
      <c r="E402" s="422">
        <f t="shared" ref="E402:E418" si="106">ROUND(C402*D402,2)</f>
        <v>320</v>
      </c>
      <c r="F402" s="422"/>
      <c r="G402" s="416">
        <v>108.09</v>
      </c>
      <c r="H402" s="417">
        <v>2.0764999999999998</v>
      </c>
      <c r="I402" s="416">
        <f t="shared" ref="I402:I418" si="107">ROUND(G402*H402,2)</f>
        <v>224.45</v>
      </c>
      <c r="J402" s="418">
        <f t="shared" ref="J402:J409" si="108">ROUND(I402*E402,2)</f>
        <v>71824</v>
      </c>
      <c r="K402" s="419">
        <f t="shared" ref="K402:K418" si="109">ROUND(J402*0.2,2)</f>
        <v>14364.8</v>
      </c>
      <c r="L402" s="420">
        <f t="shared" ref="L402:L417" si="110">ROUND(J402+K402,2)</f>
        <v>86188.800000000003</v>
      </c>
      <c r="M402" s="64"/>
      <c r="N402" s="77"/>
      <c r="O402" s="18"/>
      <c r="P402" s="22"/>
      <c r="Q402" s="22"/>
      <c r="R402" s="22"/>
    </row>
    <row r="403" spans="1:18" s="20" customFormat="1" ht="51" hidden="1" x14ac:dyDescent="0.2">
      <c r="A403" s="421" t="s">
        <v>165</v>
      </c>
      <c r="B403" s="422" t="s">
        <v>422</v>
      </c>
      <c r="C403" s="422">
        <v>40</v>
      </c>
      <c r="D403" s="422">
        <v>1</v>
      </c>
      <c r="E403" s="422">
        <f t="shared" si="106"/>
        <v>40</v>
      </c>
      <c r="F403" s="422"/>
      <c r="G403" s="416">
        <v>3286.73</v>
      </c>
      <c r="H403" s="417">
        <v>2.0764999999999998</v>
      </c>
      <c r="I403" s="416">
        <f t="shared" si="107"/>
        <v>6824.89</v>
      </c>
      <c r="J403" s="418">
        <f t="shared" si="108"/>
        <v>272995.59999999998</v>
      </c>
      <c r="K403" s="419">
        <f t="shared" si="109"/>
        <v>54599.12</v>
      </c>
      <c r="L403" s="420">
        <f t="shared" si="110"/>
        <v>327594.71999999997</v>
      </c>
      <c r="M403" s="64"/>
      <c r="N403" s="77">
        <v>110695.25</v>
      </c>
      <c r="O403" s="79">
        <v>33228.04</v>
      </c>
      <c r="P403" s="22"/>
      <c r="Q403" s="22"/>
      <c r="R403" s="22"/>
    </row>
    <row r="404" spans="1:18" s="20" customFormat="1" ht="63.75" hidden="1" x14ac:dyDescent="0.2">
      <c r="A404" s="411" t="s">
        <v>506</v>
      </c>
      <c r="B404" s="422" t="s">
        <v>422</v>
      </c>
      <c r="C404" s="422">
        <v>15</v>
      </c>
      <c r="D404" s="422">
        <v>1</v>
      </c>
      <c r="E404" s="422">
        <f t="shared" si="106"/>
        <v>15</v>
      </c>
      <c r="F404" s="422"/>
      <c r="G404" s="416">
        <v>6596.71</v>
      </c>
      <c r="H404" s="417">
        <v>2.0764999999999998</v>
      </c>
      <c r="I404" s="416">
        <f t="shared" si="107"/>
        <v>13698.07</v>
      </c>
      <c r="J404" s="418">
        <f t="shared" si="108"/>
        <v>205471.05</v>
      </c>
      <c r="K404" s="419">
        <f t="shared" si="109"/>
        <v>41094.21</v>
      </c>
      <c r="L404" s="420">
        <f t="shared" si="110"/>
        <v>246565.26</v>
      </c>
      <c r="M404" s="64"/>
      <c r="N404" s="77">
        <v>374001.58999999997</v>
      </c>
      <c r="O404" s="18">
        <v>263124.45</v>
      </c>
      <c r="P404" s="22"/>
      <c r="Q404" s="22"/>
      <c r="R404" s="22"/>
    </row>
    <row r="405" spans="1:18" s="20" customFormat="1" ht="25.5" hidden="1" x14ac:dyDescent="0.2">
      <c r="A405" s="421" t="s">
        <v>140</v>
      </c>
      <c r="B405" s="422" t="s">
        <v>422</v>
      </c>
      <c r="C405" s="422">
        <v>11</v>
      </c>
      <c r="D405" s="422">
        <v>1</v>
      </c>
      <c r="E405" s="422">
        <f t="shared" si="106"/>
        <v>11</v>
      </c>
      <c r="F405" s="422"/>
      <c r="G405" s="416">
        <v>2893.7</v>
      </c>
      <c r="H405" s="417">
        <v>2.0764999999999998</v>
      </c>
      <c r="I405" s="416">
        <f t="shared" si="107"/>
        <v>6008.77</v>
      </c>
      <c r="J405" s="418">
        <f t="shared" si="108"/>
        <v>66096.47</v>
      </c>
      <c r="K405" s="419">
        <f t="shared" si="109"/>
        <v>13219.29</v>
      </c>
      <c r="L405" s="420">
        <f t="shared" si="110"/>
        <v>79315.759999999995</v>
      </c>
      <c r="M405" s="64"/>
      <c r="N405" s="77">
        <v>211450.32</v>
      </c>
      <c r="O405" s="18">
        <v>73935.350000000006</v>
      </c>
      <c r="P405" s="22"/>
      <c r="Q405" s="22"/>
      <c r="R405" s="22"/>
    </row>
    <row r="406" spans="1:18" s="20" customFormat="1" ht="25.5" hidden="1" x14ac:dyDescent="0.2">
      <c r="A406" s="421" t="s">
        <v>137</v>
      </c>
      <c r="B406" s="422" t="s">
        <v>422</v>
      </c>
      <c r="C406" s="422">
        <f>192</f>
        <v>192</v>
      </c>
      <c r="D406" s="422">
        <v>1</v>
      </c>
      <c r="E406" s="422">
        <f t="shared" si="106"/>
        <v>192</v>
      </c>
      <c r="F406" s="422"/>
      <c r="G406" s="416">
        <v>167.36</v>
      </c>
      <c r="H406" s="417">
        <v>2.0764999999999998</v>
      </c>
      <c r="I406" s="416">
        <f t="shared" si="107"/>
        <v>347.52</v>
      </c>
      <c r="J406" s="418">
        <f t="shared" si="108"/>
        <v>66723.839999999997</v>
      </c>
      <c r="K406" s="419">
        <f t="shared" si="109"/>
        <v>13344.77</v>
      </c>
      <c r="L406" s="420">
        <f t="shared" si="110"/>
        <v>80068.61</v>
      </c>
      <c r="M406" s="64"/>
      <c r="N406" s="77">
        <v>97391.950000000012</v>
      </c>
      <c r="O406" s="18">
        <v>88030.51</v>
      </c>
      <c r="P406" s="22"/>
      <c r="Q406" s="22"/>
      <c r="R406" s="22"/>
    </row>
    <row r="407" spans="1:18" s="20" customFormat="1" ht="38.25" hidden="1" x14ac:dyDescent="0.2">
      <c r="A407" s="421" t="s">
        <v>112</v>
      </c>
      <c r="B407" s="422" t="s">
        <v>422</v>
      </c>
      <c r="C407" s="422">
        <v>100</v>
      </c>
      <c r="D407" s="422">
        <v>1</v>
      </c>
      <c r="E407" s="422">
        <f t="shared" si="106"/>
        <v>100</v>
      </c>
      <c r="F407" s="422"/>
      <c r="G407" s="416">
        <v>643.77</v>
      </c>
      <c r="H407" s="417">
        <v>2.0764999999999998</v>
      </c>
      <c r="I407" s="416">
        <f t="shared" si="107"/>
        <v>1336.79</v>
      </c>
      <c r="J407" s="418">
        <f t="shared" si="108"/>
        <v>133679</v>
      </c>
      <c r="K407" s="419">
        <f t="shared" si="109"/>
        <v>26735.8</v>
      </c>
      <c r="L407" s="420">
        <f t="shared" si="110"/>
        <v>160414.79999999999</v>
      </c>
      <c r="M407" s="64"/>
      <c r="N407" s="77">
        <v>51501.31</v>
      </c>
      <c r="O407" s="18">
        <v>51450.82</v>
      </c>
      <c r="P407" s="22"/>
      <c r="Q407" s="22"/>
      <c r="R407" s="22"/>
    </row>
    <row r="408" spans="1:18" s="20" customFormat="1" ht="25.5" hidden="1" x14ac:dyDescent="0.2">
      <c r="A408" s="421" t="s">
        <v>104</v>
      </c>
      <c r="B408" s="422" t="s">
        <v>411</v>
      </c>
      <c r="C408" s="422">
        <f>1.95</f>
        <v>1.95</v>
      </c>
      <c r="D408" s="422">
        <v>1</v>
      </c>
      <c r="E408" s="422">
        <f t="shared" si="106"/>
        <v>1.95</v>
      </c>
      <c r="F408" s="422"/>
      <c r="G408" s="416">
        <v>5333.45</v>
      </c>
      <c r="H408" s="417">
        <v>2.0764999999999998</v>
      </c>
      <c r="I408" s="416">
        <f t="shared" si="107"/>
        <v>11074.91</v>
      </c>
      <c r="J408" s="418">
        <f t="shared" si="108"/>
        <v>21596.07</v>
      </c>
      <c r="K408" s="419">
        <f t="shared" si="109"/>
        <v>4319.21</v>
      </c>
      <c r="L408" s="420">
        <f t="shared" si="110"/>
        <v>25915.279999999999</v>
      </c>
      <c r="M408" s="64"/>
      <c r="N408" s="77">
        <v>206354.4</v>
      </c>
      <c r="O408" s="18">
        <v>118537.23</v>
      </c>
      <c r="P408" s="22"/>
      <c r="Q408" s="22"/>
      <c r="R408" s="22"/>
    </row>
    <row r="409" spans="1:18" s="20" customFormat="1" ht="102" hidden="1" x14ac:dyDescent="0.2">
      <c r="A409" s="421" t="s">
        <v>202</v>
      </c>
      <c r="B409" s="422" t="s">
        <v>446</v>
      </c>
      <c r="C409" s="422">
        <f>1770</f>
        <v>1770</v>
      </c>
      <c r="D409" s="422">
        <v>1</v>
      </c>
      <c r="E409" s="422">
        <f t="shared" si="106"/>
        <v>1770</v>
      </c>
      <c r="F409" s="422"/>
      <c r="G409" s="416">
        <v>38.590000000000003</v>
      </c>
      <c r="H409" s="417">
        <v>2.0764999999999998</v>
      </c>
      <c r="I409" s="416">
        <f t="shared" si="107"/>
        <v>80.13</v>
      </c>
      <c r="J409" s="418">
        <f t="shared" si="108"/>
        <v>141830.1</v>
      </c>
      <c r="K409" s="419">
        <f t="shared" si="109"/>
        <v>28366.02</v>
      </c>
      <c r="L409" s="420">
        <f t="shared" si="110"/>
        <v>170196.12</v>
      </c>
      <c r="M409" s="64"/>
      <c r="N409" s="77">
        <v>33336.85</v>
      </c>
      <c r="O409" s="18">
        <v>16652.14</v>
      </c>
      <c r="P409" s="22">
        <f>15*13/100</f>
        <v>1.95</v>
      </c>
      <c r="Q409" s="22" t="s">
        <v>323</v>
      </c>
      <c r="R409" s="22"/>
    </row>
    <row r="410" spans="1:18" s="20" customFormat="1" ht="38.25" hidden="1" x14ac:dyDescent="0.2">
      <c r="A410" s="411" t="s">
        <v>467</v>
      </c>
      <c r="B410" s="422" t="s">
        <v>422</v>
      </c>
      <c r="C410" s="422">
        <v>347</v>
      </c>
      <c r="D410" s="422">
        <v>1</v>
      </c>
      <c r="E410" s="422">
        <f t="shared" si="106"/>
        <v>347</v>
      </c>
      <c r="F410" s="422"/>
      <c r="G410" s="416">
        <v>98.67</v>
      </c>
      <c r="H410" s="417">
        <v>2.0764999999999998</v>
      </c>
      <c r="I410" s="416">
        <f t="shared" si="107"/>
        <v>204.89</v>
      </c>
      <c r="J410" s="418">
        <f>ROUND(I410*E410,2)</f>
        <v>71096.83</v>
      </c>
      <c r="K410" s="419">
        <f t="shared" si="109"/>
        <v>14219.37</v>
      </c>
      <c r="L410" s="420">
        <f t="shared" si="110"/>
        <v>85316.2</v>
      </c>
      <c r="M410" s="64"/>
      <c r="N410" s="77">
        <v>109492.2</v>
      </c>
      <c r="O410" s="18">
        <v>109377.68</v>
      </c>
      <c r="P410" s="26">
        <f>1740/2/100</f>
        <v>8.6999999999999993</v>
      </c>
      <c r="Q410" s="26" t="s">
        <v>324</v>
      </c>
      <c r="R410" s="16" t="s">
        <v>342</v>
      </c>
    </row>
    <row r="411" spans="1:18" s="20" customFormat="1" ht="51" hidden="1" x14ac:dyDescent="0.2">
      <c r="A411" s="411" t="s">
        <v>469</v>
      </c>
      <c r="B411" s="422" t="s">
        <v>77</v>
      </c>
      <c r="C411" s="422">
        <f>13*50/100</f>
        <v>6.5</v>
      </c>
      <c r="D411" s="422">
        <v>2</v>
      </c>
      <c r="E411" s="422">
        <f t="shared" si="106"/>
        <v>13</v>
      </c>
      <c r="F411" s="422"/>
      <c r="G411" s="416">
        <v>531.04</v>
      </c>
      <c r="H411" s="417">
        <v>2.0764999999999998</v>
      </c>
      <c r="I411" s="416">
        <f t="shared" si="107"/>
        <v>1102.7</v>
      </c>
      <c r="J411" s="418">
        <f t="shared" ref="J411:J418" si="111">ROUND(I411*E411,2)</f>
        <v>14335.1</v>
      </c>
      <c r="K411" s="419">
        <f t="shared" si="109"/>
        <v>2867.02</v>
      </c>
      <c r="L411" s="420">
        <f t="shared" si="110"/>
        <v>17202.12</v>
      </c>
      <c r="M411" s="64"/>
      <c r="N411" s="77"/>
      <c r="O411" s="18"/>
      <c r="P411" s="34"/>
      <c r="Q411" s="34"/>
      <c r="R411" s="137"/>
    </row>
    <row r="412" spans="1:18" s="20" customFormat="1" ht="12.75" hidden="1" x14ac:dyDescent="0.2">
      <c r="A412" s="439" t="s">
        <v>471</v>
      </c>
      <c r="B412" s="422" t="s">
        <v>433</v>
      </c>
      <c r="C412" s="422">
        <v>1740</v>
      </c>
      <c r="D412" s="422">
        <v>2</v>
      </c>
      <c r="E412" s="422">
        <f t="shared" si="106"/>
        <v>3480</v>
      </c>
      <c r="F412" s="422"/>
      <c r="G412" s="416">
        <v>2.89</v>
      </c>
      <c r="H412" s="417">
        <v>2.0764999999999998</v>
      </c>
      <c r="I412" s="416">
        <f t="shared" si="107"/>
        <v>6</v>
      </c>
      <c r="J412" s="418">
        <f t="shared" si="111"/>
        <v>20880</v>
      </c>
      <c r="K412" s="419">
        <f t="shared" si="109"/>
        <v>4176</v>
      </c>
      <c r="L412" s="420">
        <f t="shared" si="110"/>
        <v>25056</v>
      </c>
      <c r="M412" s="64"/>
      <c r="N412" s="77"/>
      <c r="O412" s="18"/>
      <c r="P412" s="34"/>
      <c r="Q412" s="34"/>
      <c r="R412" s="137"/>
    </row>
    <row r="413" spans="1:18" s="20" customFormat="1" ht="12.75" hidden="1" x14ac:dyDescent="0.2">
      <c r="A413" s="439" t="s">
        <v>473</v>
      </c>
      <c r="B413" s="422" t="s">
        <v>422</v>
      </c>
      <c r="C413" s="422">
        <v>100</v>
      </c>
      <c r="D413" s="422">
        <v>1</v>
      </c>
      <c r="E413" s="422">
        <f t="shared" si="106"/>
        <v>100</v>
      </c>
      <c r="F413" s="422"/>
      <c r="G413" s="416">
        <v>101.02</v>
      </c>
      <c r="H413" s="417">
        <v>2.0764999999999998</v>
      </c>
      <c r="I413" s="416">
        <f t="shared" si="107"/>
        <v>209.77</v>
      </c>
      <c r="J413" s="418">
        <f t="shared" si="111"/>
        <v>20977</v>
      </c>
      <c r="K413" s="419">
        <f t="shared" si="109"/>
        <v>4195.3999999999996</v>
      </c>
      <c r="L413" s="420">
        <f t="shared" si="110"/>
        <v>25172.400000000001</v>
      </c>
      <c r="M413" s="64"/>
      <c r="N413" s="77"/>
      <c r="O413" s="18"/>
      <c r="P413" s="34"/>
      <c r="Q413" s="34"/>
      <c r="R413" s="137"/>
    </row>
    <row r="414" spans="1:18" s="20" customFormat="1" ht="63.75" hidden="1" x14ac:dyDescent="0.2">
      <c r="A414" s="461" t="s">
        <v>475</v>
      </c>
      <c r="B414" s="422" t="s">
        <v>433</v>
      </c>
      <c r="C414" s="422">
        <v>1740</v>
      </c>
      <c r="D414" s="422">
        <v>3</v>
      </c>
      <c r="E414" s="422">
        <f t="shared" si="106"/>
        <v>5220</v>
      </c>
      <c r="F414" s="422"/>
      <c r="G414" s="416">
        <v>0.57999999999999996</v>
      </c>
      <c r="H414" s="417">
        <v>2.0764999999999998</v>
      </c>
      <c r="I414" s="416">
        <f t="shared" si="107"/>
        <v>1.2</v>
      </c>
      <c r="J414" s="418">
        <f t="shared" si="111"/>
        <v>6264</v>
      </c>
      <c r="K414" s="419">
        <f t="shared" si="109"/>
        <v>1252.8</v>
      </c>
      <c r="L414" s="420">
        <f t="shared" si="110"/>
        <v>7516.8</v>
      </c>
      <c r="M414" s="64"/>
      <c r="N414" s="77"/>
      <c r="O414" s="18"/>
      <c r="P414" s="34"/>
      <c r="Q414" s="34"/>
      <c r="R414" s="137"/>
    </row>
    <row r="415" spans="1:18" s="20" customFormat="1" ht="38.25" hidden="1" x14ac:dyDescent="0.2">
      <c r="A415" s="461" t="s">
        <v>477</v>
      </c>
      <c r="B415" s="422" t="s">
        <v>433</v>
      </c>
      <c r="C415" s="422">
        <v>50</v>
      </c>
      <c r="D415" s="422">
        <v>1</v>
      </c>
      <c r="E415" s="422">
        <f t="shared" si="106"/>
        <v>50</v>
      </c>
      <c r="F415" s="422"/>
      <c r="G415" s="416">
        <v>382.85</v>
      </c>
      <c r="H415" s="417">
        <v>2.0764999999999998</v>
      </c>
      <c r="I415" s="416">
        <f t="shared" si="107"/>
        <v>794.99</v>
      </c>
      <c r="J415" s="418">
        <f t="shared" si="111"/>
        <v>39749.5</v>
      </c>
      <c r="K415" s="419">
        <f t="shared" si="109"/>
        <v>7949.9</v>
      </c>
      <c r="L415" s="420">
        <f t="shared" si="110"/>
        <v>47699.4</v>
      </c>
      <c r="M415" s="64"/>
      <c r="N415" s="77"/>
      <c r="O415" s="18"/>
      <c r="P415" s="34"/>
      <c r="Q415" s="34"/>
      <c r="R415" s="137"/>
    </row>
    <row r="416" spans="1:18" s="20" customFormat="1" ht="25.5" hidden="1" x14ac:dyDescent="0.2">
      <c r="A416" s="461" t="s">
        <v>479</v>
      </c>
      <c r="B416" s="422" t="s">
        <v>422</v>
      </c>
      <c r="C416" s="422">
        <v>100</v>
      </c>
      <c r="D416" s="422">
        <v>1</v>
      </c>
      <c r="E416" s="422">
        <f t="shared" si="106"/>
        <v>100</v>
      </c>
      <c r="F416" s="422"/>
      <c r="G416" s="416">
        <v>209.02</v>
      </c>
      <c r="H416" s="417">
        <v>2.0764999999999998</v>
      </c>
      <c r="I416" s="416">
        <f t="shared" si="107"/>
        <v>434.03</v>
      </c>
      <c r="J416" s="418">
        <f t="shared" si="111"/>
        <v>43403</v>
      </c>
      <c r="K416" s="419">
        <f t="shared" si="109"/>
        <v>8680.6</v>
      </c>
      <c r="L416" s="420">
        <f t="shared" si="110"/>
        <v>52083.6</v>
      </c>
      <c r="M416" s="64"/>
      <c r="N416" s="77"/>
      <c r="O416" s="18"/>
      <c r="P416" s="34"/>
      <c r="Q416" s="34"/>
      <c r="R416" s="137"/>
    </row>
    <row r="417" spans="1:18" s="20" customFormat="1" ht="89.25" hidden="1" x14ac:dyDescent="0.2">
      <c r="A417" s="461" t="s">
        <v>509</v>
      </c>
      <c r="B417" s="422" t="s">
        <v>507</v>
      </c>
      <c r="C417" s="422">
        <v>4</v>
      </c>
      <c r="D417" s="422">
        <v>3</v>
      </c>
      <c r="E417" s="422">
        <f t="shared" si="106"/>
        <v>12</v>
      </c>
      <c r="F417" s="422"/>
      <c r="G417" s="416">
        <v>4248.72</v>
      </c>
      <c r="H417" s="417">
        <v>2.0764999999999998</v>
      </c>
      <c r="I417" s="416">
        <f t="shared" si="107"/>
        <v>8822.4699999999993</v>
      </c>
      <c r="J417" s="418">
        <f t="shared" si="111"/>
        <v>105869.64</v>
      </c>
      <c r="K417" s="419">
        <f t="shared" si="109"/>
        <v>21173.93</v>
      </c>
      <c r="L417" s="420">
        <f t="shared" si="110"/>
        <v>127043.57</v>
      </c>
      <c r="M417" s="64"/>
      <c r="N417" s="77"/>
      <c r="O417" s="18"/>
      <c r="P417" s="34"/>
      <c r="Q417" s="34"/>
      <c r="R417" s="137"/>
    </row>
    <row r="418" spans="1:18" s="20" customFormat="1" ht="38.25" hidden="1" x14ac:dyDescent="0.2">
      <c r="A418" s="411" t="s">
        <v>518</v>
      </c>
      <c r="B418" s="432" t="s">
        <v>508</v>
      </c>
      <c r="C418" s="414">
        <v>1</v>
      </c>
      <c r="D418" s="414">
        <v>91</v>
      </c>
      <c r="E418" s="414">
        <f t="shared" si="106"/>
        <v>91</v>
      </c>
      <c r="F418" s="422"/>
      <c r="G418" s="416">
        <v>535.76</v>
      </c>
      <c r="H418" s="435">
        <v>1.0680000000000001</v>
      </c>
      <c r="I418" s="416">
        <f t="shared" si="107"/>
        <v>572.19000000000005</v>
      </c>
      <c r="J418" s="418">
        <f t="shared" si="111"/>
        <v>52069.29</v>
      </c>
      <c r="K418" s="419">
        <f t="shared" si="109"/>
        <v>10413.86</v>
      </c>
      <c r="L418" s="420">
        <f>ROUND(K418+J418,2)</f>
        <v>62483.15</v>
      </c>
      <c r="M418" s="64"/>
      <c r="N418" s="77"/>
      <c r="O418" s="18"/>
      <c r="P418" s="34"/>
      <c r="Q418" s="34"/>
      <c r="R418" s="137"/>
    </row>
    <row r="419" spans="1:18" s="20" customFormat="1" ht="12.75" hidden="1" x14ac:dyDescent="0.2">
      <c r="A419" s="219" t="s">
        <v>88</v>
      </c>
      <c r="B419" s="422"/>
      <c r="C419" s="422"/>
      <c r="D419" s="422"/>
      <c r="E419" s="422"/>
      <c r="F419" s="422"/>
      <c r="G419" s="416"/>
      <c r="H419" s="417"/>
      <c r="I419" s="416"/>
      <c r="J419" s="418"/>
      <c r="K419" s="419"/>
      <c r="L419" s="420"/>
      <c r="M419" s="64"/>
      <c r="N419" s="77"/>
      <c r="O419" s="18"/>
      <c r="P419" s="34"/>
      <c r="Q419" s="34"/>
      <c r="R419" s="137"/>
    </row>
    <row r="420" spans="1:18" s="20" customFormat="1" ht="63.75" hidden="1" x14ac:dyDescent="0.2">
      <c r="A420" s="421" t="s">
        <v>370</v>
      </c>
      <c r="B420" s="422" t="s">
        <v>422</v>
      </c>
      <c r="C420" s="422">
        <v>800</v>
      </c>
      <c r="D420" s="422">
        <v>3</v>
      </c>
      <c r="E420" s="422">
        <f>ROUND(C420*D420,2)</f>
        <v>2400</v>
      </c>
      <c r="F420" s="422"/>
      <c r="G420" s="416">
        <v>12.79</v>
      </c>
      <c r="H420" s="417">
        <v>2.0764999999999998</v>
      </c>
      <c r="I420" s="416">
        <f>ROUND(G420*H420,2)</f>
        <v>26.56</v>
      </c>
      <c r="J420" s="418">
        <f>ROUND(I420*E420,2)</f>
        <v>63744</v>
      </c>
      <c r="K420" s="419">
        <f>ROUND(J420*0.2,2)</f>
        <v>12748.8</v>
      </c>
      <c r="L420" s="420">
        <f>ROUND(J420+K420,2)</f>
        <v>76492.800000000003</v>
      </c>
      <c r="M420" s="64"/>
      <c r="N420" s="77"/>
      <c r="O420" s="18"/>
      <c r="P420" s="22"/>
      <c r="Q420" s="22"/>
      <c r="R420" s="22"/>
    </row>
    <row r="421" spans="1:18" s="20" customFormat="1" ht="63.75" hidden="1" x14ac:dyDescent="0.2">
      <c r="A421" s="219" t="s">
        <v>51</v>
      </c>
      <c r="B421" s="422"/>
      <c r="C421" s="422"/>
      <c r="D421" s="422"/>
      <c r="E421" s="422"/>
      <c r="F421" s="422"/>
      <c r="G421" s="416"/>
      <c r="H421" s="417"/>
      <c r="I421" s="416"/>
      <c r="J421" s="418"/>
      <c r="K421" s="419"/>
      <c r="L421" s="420"/>
      <c r="M421" s="64"/>
      <c r="N421" s="77">
        <v>129815.64</v>
      </c>
      <c r="O421" s="18">
        <v>64828.7</v>
      </c>
      <c r="P421" s="22"/>
      <c r="Q421" s="22"/>
      <c r="R421" s="22"/>
    </row>
    <row r="422" spans="1:18" s="20" customFormat="1" ht="25.5" hidden="1" x14ac:dyDescent="0.2">
      <c r="A422" s="421" t="s">
        <v>498</v>
      </c>
      <c r="B422" s="422" t="s">
        <v>77</v>
      </c>
      <c r="C422" s="422">
        <v>27</v>
      </c>
      <c r="D422" s="422">
        <v>2</v>
      </c>
      <c r="E422" s="422">
        <f>ROUND(C422*D422,2)</f>
        <v>54</v>
      </c>
      <c r="F422" s="422"/>
      <c r="G422" s="416">
        <v>44.32</v>
      </c>
      <c r="H422" s="417">
        <v>2.0764999999999998</v>
      </c>
      <c r="I422" s="416">
        <f>ROUND(G422*H422,2)</f>
        <v>92.03</v>
      </c>
      <c r="J422" s="418">
        <f>ROUND(I422*E422,2)</f>
        <v>4969.62</v>
      </c>
      <c r="K422" s="419">
        <f>ROUND(J422*0.2,2)</f>
        <v>993.92</v>
      </c>
      <c r="L422" s="420">
        <f>ROUND(J422+K422,2)</f>
        <v>5963.54</v>
      </c>
      <c r="M422" s="64"/>
      <c r="N422" s="77"/>
      <c r="O422" s="18"/>
      <c r="P422" s="22"/>
      <c r="Q422" s="22"/>
      <c r="R422" s="22"/>
    </row>
    <row r="423" spans="1:18" s="20" customFormat="1" ht="25.5" hidden="1" x14ac:dyDescent="0.2">
      <c r="A423" s="421" t="s">
        <v>500</v>
      </c>
      <c r="B423" s="422" t="s">
        <v>513</v>
      </c>
      <c r="C423" s="422">
        <v>2.7</v>
      </c>
      <c r="D423" s="422">
        <v>1</v>
      </c>
      <c r="E423" s="422">
        <f>ROUND(C423*D423,2)</f>
        <v>2.7</v>
      </c>
      <c r="F423" s="422"/>
      <c r="G423" s="416">
        <v>4728.2</v>
      </c>
      <c r="H423" s="417">
        <v>2.0764999999999998</v>
      </c>
      <c r="I423" s="416">
        <f>ROUND(G423*H423,2)</f>
        <v>9818.11</v>
      </c>
      <c r="J423" s="418">
        <f>ROUND(I423*E423,2)</f>
        <v>26508.9</v>
      </c>
      <c r="K423" s="419">
        <f>ROUND(J423*0.2,2)</f>
        <v>5301.78</v>
      </c>
      <c r="L423" s="420">
        <f>ROUND(J423+K423,2)</f>
        <v>31810.68</v>
      </c>
      <c r="M423" s="64"/>
      <c r="N423" s="77"/>
      <c r="O423" s="18"/>
      <c r="P423" s="22"/>
      <c r="Q423" s="22"/>
      <c r="R423" s="22"/>
    </row>
    <row r="424" spans="1:18" s="20" customFormat="1" ht="25.5" hidden="1" x14ac:dyDescent="0.2">
      <c r="A424" s="421" t="s">
        <v>501</v>
      </c>
      <c r="B424" s="422" t="s">
        <v>433</v>
      </c>
      <c r="C424" s="422">
        <v>810</v>
      </c>
      <c r="D424" s="422">
        <v>1</v>
      </c>
      <c r="E424" s="422">
        <f>ROUND(C424*D424,2)</f>
        <v>810</v>
      </c>
      <c r="F424" s="422"/>
      <c r="G424" s="416">
        <v>83.24</v>
      </c>
      <c r="H424" s="417">
        <v>2.0764999999999998</v>
      </c>
      <c r="I424" s="416">
        <f>ROUND(G424*H424,2)</f>
        <v>172.85</v>
      </c>
      <c r="J424" s="418">
        <f>ROUND(I424*E424,2)</f>
        <v>140008.5</v>
      </c>
      <c r="K424" s="419">
        <f>ROUND(J424*0.2,2)</f>
        <v>28001.7</v>
      </c>
      <c r="L424" s="420">
        <f>ROUND(J424+K424,2)</f>
        <v>168010.2</v>
      </c>
      <c r="M424" s="64"/>
      <c r="N424" s="77"/>
      <c r="O424" s="18"/>
      <c r="P424" s="22"/>
      <c r="Q424" s="22"/>
      <c r="R424" s="22"/>
    </row>
    <row r="425" spans="1:18" s="20" customFormat="1" ht="25.5" hidden="1" x14ac:dyDescent="0.2">
      <c r="A425" s="219" t="s">
        <v>21</v>
      </c>
      <c r="B425" s="468"/>
      <c r="C425" s="438"/>
      <c r="D425" s="410"/>
      <c r="E425" s="437"/>
      <c r="F425" s="422"/>
      <c r="G425" s="416"/>
      <c r="H425" s="417"/>
      <c r="I425" s="416"/>
      <c r="J425" s="418"/>
      <c r="K425" s="419"/>
      <c r="L425" s="420"/>
      <c r="M425" s="64"/>
      <c r="N425" s="77"/>
      <c r="O425" s="18"/>
      <c r="P425" s="22"/>
      <c r="Q425" s="22"/>
      <c r="R425" s="22"/>
    </row>
    <row r="426" spans="1:18" s="20" customFormat="1" ht="127.5" hidden="1" x14ac:dyDescent="0.2">
      <c r="A426" s="421" t="s">
        <v>337</v>
      </c>
      <c r="B426" s="422" t="s">
        <v>354</v>
      </c>
      <c r="C426" s="422">
        <v>51.85</v>
      </c>
      <c r="D426" s="422">
        <v>13</v>
      </c>
      <c r="E426" s="422">
        <f t="shared" ref="E426:E445" si="112">ROUND(C426*D426,2)</f>
        <v>674.05</v>
      </c>
      <c r="F426" s="422"/>
      <c r="G426" s="416">
        <v>35.01</v>
      </c>
      <c r="H426" s="417">
        <v>2.0764999999999998</v>
      </c>
      <c r="I426" s="416">
        <f t="shared" ref="I426:I445" si="113">ROUND(G426*H426,2)</f>
        <v>72.7</v>
      </c>
      <c r="J426" s="418">
        <f t="shared" ref="J426:J445" si="114">ROUND(I426*E426,2)</f>
        <v>49003.44</v>
      </c>
      <c r="K426" s="419">
        <f t="shared" ref="K426:K445" si="115">ROUND(J426*0.2,2)</f>
        <v>9800.69</v>
      </c>
      <c r="L426" s="420">
        <f t="shared" ref="L426:L445" si="116">ROUND(J426+K426,2)</f>
        <v>58804.13</v>
      </c>
      <c r="M426" s="64"/>
      <c r="N426" s="77"/>
      <c r="O426" s="18"/>
      <c r="P426" s="22"/>
      <c r="Q426" s="22"/>
      <c r="R426" s="22"/>
    </row>
    <row r="427" spans="1:18" s="20" customFormat="1" ht="76.5" hidden="1" x14ac:dyDescent="0.2">
      <c r="A427" s="421" t="s">
        <v>113</v>
      </c>
      <c r="B427" s="422" t="s">
        <v>354</v>
      </c>
      <c r="C427" s="422">
        <v>369.4</v>
      </c>
      <c r="D427" s="422">
        <v>13</v>
      </c>
      <c r="E427" s="422">
        <f t="shared" si="112"/>
        <v>4802.2</v>
      </c>
      <c r="F427" s="422"/>
      <c r="G427" s="416">
        <v>101.44</v>
      </c>
      <c r="H427" s="417">
        <v>2.0764999999999998</v>
      </c>
      <c r="I427" s="416">
        <f t="shared" si="113"/>
        <v>210.64</v>
      </c>
      <c r="J427" s="418">
        <f t="shared" si="114"/>
        <v>1011535.41</v>
      </c>
      <c r="K427" s="419">
        <f t="shared" si="115"/>
        <v>202307.08</v>
      </c>
      <c r="L427" s="420">
        <f t="shared" si="116"/>
        <v>1213842.49</v>
      </c>
      <c r="M427" s="64"/>
      <c r="N427" s="77"/>
      <c r="O427" s="18"/>
      <c r="P427" s="22"/>
      <c r="Q427" s="22"/>
      <c r="R427" s="22"/>
    </row>
    <row r="428" spans="1:18" s="20" customFormat="1" ht="76.5" hidden="1" x14ac:dyDescent="0.2">
      <c r="A428" s="421" t="s">
        <v>176</v>
      </c>
      <c r="B428" s="422" t="s">
        <v>354</v>
      </c>
      <c r="C428" s="422">
        <v>156.32</v>
      </c>
      <c r="D428" s="422">
        <v>10</v>
      </c>
      <c r="E428" s="422">
        <f t="shared" si="112"/>
        <v>1563.2</v>
      </c>
      <c r="F428" s="422"/>
      <c r="G428" s="416">
        <v>100.49</v>
      </c>
      <c r="H428" s="417">
        <v>2.0764999999999998</v>
      </c>
      <c r="I428" s="416">
        <f t="shared" si="113"/>
        <v>208.67</v>
      </c>
      <c r="J428" s="418">
        <f t="shared" si="114"/>
        <v>326192.94</v>
      </c>
      <c r="K428" s="419">
        <f t="shared" si="115"/>
        <v>65238.59</v>
      </c>
      <c r="L428" s="420">
        <f t="shared" si="116"/>
        <v>391431.53</v>
      </c>
      <c r="M428" s="64"/>
      <c r="N428" s="77"/>
      <c r="O428" s="18"/>
      <c r="P428" s="22"/>
      <c r="Q428" s="22"/>
      <c r="R428" s="22"/>
    </row>
    <row r="429" spans="1:18" s="20" customFormat="1" ht="89.25" hidden="1" x14ac:dyDescent="0.2">
      <c r="A429" s="421" t="s">
        <v>178</v>
      </c>
      <c r="B429" s="422" t="s">
        <v>513</v>
      </c>
      <c r="C429" s="422">
        <v>1129</v>
      </c>
      <c r="D429" s="422">
        <v>12</v>
      </c>
      <c r="E429" s="422">
        <f t="shared" si="112"/>
        <v>13548</v>
      </c>
      <c r="F429" s="422"/>
      <c r="G429" s="416">
        <v>126.79</v>
      </c>
      <c r="H429" s="417">
        <v>2.0764999999999998</v>
      </c>
      <c r="I429" s="416">
        <f t="shared" si="113"/>
        <v>263.27999999999997</v>
      </c>
      <c r="J429" s="418">
        <f t="shared" si="114"/>
        <v>3566917.44</v>
      </c>
      <c r="K429" s="419">
        <f t="shared" si="115"/>
        <v>713383.49</v>
      </c>
      <c r="L429" s="420">
        <f t="shared" si="116"/>
        <v>4280300.93</v>
      </c>
      <c r="M429" s="64"/>
      <c r="N429" s="77"/>
      <c r="O429" s="18"/>
      <c r="P429" s="22"/>
      <c r="Q429" s="22"/>
      <c r="R429" s="22"/>
    </row>
    <row r="430" spans="1:18" s="20" customFormat="1" ht="76.5" hidden="1" x14ac:dyDescent="0.2">
      <c r="A430" s="421" t="s">
        <v>231</v>
      </c>
      <c r="B430" s="422" t="s">
        <v>513</v>
      </c>
      <c r="C430" s="422">
        <v>468.96</v>
      </c>
      <c r="D430" s="422">
        <v>10</v>
      </c>
      <c r="E430" s="422">
        <f t="shared" si="112"/>
        <v>4689.6000000000004</v>
      </c>
      <c r="F430" s="422"/>
      <c r="G430" s="416">
        <v>57.42</v>
      </c>
      <c r="H430" s="417">
        <v>2.0764999999999998</v>
      </c>
      <c r="I430" s="416">
        <f t="shared" si="113"/>
        <v>119.23</v>
      </c>
      <c r="J430" s="418">
        <f t="shared" si="114"/>
        <v>559141.01</v>
      </c>
      <c r="K430" s="419">
        <f t="shared" si="115"/>
        <v>111828.2</v>
      </c>
      <c r="L430" s="420">
        <f t="shared" si="116"/>
        <v>670969.21</v>
      </c>
      <c r="M430" s="64"/>
      <c r="N430" s="77"/>
      <c r="O430" s="18"/>
      <c r="P430" s="22"/>
      <c r="Q430" s="22"/>
      <c r="R430" s="22"/>
    </row>
    <row r="431" spans="1:18" s="20" customFormat="1" ht="114.75" hidden="1" x14ac:dyDescent="0.2">
      <c r="A431" s="421" t="s">
        <v>338</v>
      </c>
      <c r="B431" s="422" t="s">
        <v>513</v>
      </c>
      <c r="C431" s="422">
        <v>181.49600000000001</v>
      </c>
      <c r="D431" s="422">
        <v>12</v>
      </c>
      <c r="E431" s="422">
        <f t="shared" si="112"/>
        <v>2177.9499999999998</v>
      </c>
      <c r="F431" s="422"/>
      <c r="G431" s="416">
        <v>26.46</v>
      </c>
      <c r="H431" s="417">
        <v>2.0764999999999998</v>
      </c>
      <c r="I431" s="416">
        <f t="shared" si="113"/>
        <v>54.94</v>
      </c>
      <c r="J431" s="418">
        <f t="shared" si="114"/>
        <v>119656.57</v>
      </c>
      <c r="K431" s="419">
        <f t="shared" si="115"/>
        <v>23931.31</v>
      </c>
      <c r="L431" s="420">
        <f t="shared" si="116"/>
        <v>143587.88</v>
      </c>
      <c r="M431" s="64"/>
      <c r="N431" s="77"/>
      <c r="O431" s="18"/>
      <c r="P431" s="22"/>
      <c r="Q431" s="22"/>
      <c r="R431" s="22"/>
    </row>
    <row r="432" spans="1:18" s="20" customFormat="1" ht="114.75" hidden="1" x14ac:dyDescent="0.2">
      <c r="A432" s="421" t="s">
        <v>522</v>
      </c>
      <c r="B432" s="422" t="s">
        <v>513</v>
      </c>
      <c r="C432" s="422">
        <v>181.49600000000001</v>
      </c>
      <c r="D432" s="422">
        <v>12</v>
      </c>
      <c r="E432" s="422">
        <f t="shared" si="112"/>
        <v>2177.9499999999998</v>
      </c>
      <c r="F432" s="422"/>
      <c r="G432" s="416">
        <v>41.19</v>
      </c>
      <c r="H432" s="417">
        <v>2.0764999999999998</v>
      </c>
      <c r="I432" s="416">
        <f t="shared" si="113"/>
        <v>85.53</v>
      </c>
      <c r="J432" s="418">
        <f t="shared" si="114"/>
        <v>186280.06</v>
      </c>
      <c r="K432" s="419">
        <f t="shared" si="115"/>
        <v>37256.01</v>
      </c>
      <c r="L432" s="420">
        <f t="shared" si="116"/>
        <v>223536.07</v>
      </c>
      <c r="M432" s="64"/>
      <c r="N432" s="77"/>
      <c r="O432" s="18"/>
      <c r="P432" s="22"/>
      <c r="Q432" s="22"/>
      <c r="R432" s="22"/>
    </row>
    <row r="433" spans="1:18" s="20" customFormat="1" ht="153" hidden="1" x14ac:dyDescent="0.2">
      <c r="A433" s="469" t="s">
        <v>339</v>
      </c>
      <c r="B433" s="422" t="s">
        <v>513</v>
      </c>
      <c r="C433" s="422">
        <v>181.49600000000001</v>
      </c>
      <c r="D433" s="422">
        <v>11</v>
      </c>
      <c r="E433" s="422">
        <f t="shared" si="112"/>
        <v>1996.46</v>
      </c>
      <c r="F433" s="422"/>
      <c r="G433" s="416">
        <v>57.06</v>
      </c>
      <c r="H433" s="417">
        <v>2.0764999999999998</v>
      </c>
      <c r="I433" s="416">
        <f t="shared" si="113"/>
        <v>118.49</v>
      </c>
      <c r="J433" s="418">
        <f t="shared" si="114"/>
        <v>236560.55</v>
      </c>
      <c r="K433" s="419">
        <f t="shared" si="115"/>
        <v>47312.11</v>
      </c>
      <c r="L433" s="420">
        <f t="shared" si="116"/>
        <v>283872.65999999997</v>
      </c>
      <c r="M433" s="132">
        <f>L433+L434+L435</f>
        <v>3054569.29</v>
      </c>
      <c r="N433" s="77"/>
      <c r="O433" s="18"/>
      <c r="P433" s="22"/>
      <c r="Q433" s="22"/>
      <c r="R433" s="22"/>
    </row>
    <row r="434" spans="1:18" s="20" customFormat="1" ht="114.75" hidden="1" x14ac:dyDescent="0.2">
      <c r="A434" s="469" t="s">
        <v>481</v>
      </c>
      <c r="B434" s="422" t="s">
        <v>513</v>
      </c>
      <c r="C434" s="422">
        <v>205.429</v>
      </c>
      <c r="D434" s="422">
        <v>11</v>
      </c>
      <c r="E434" s="422">
        <f t="shared" si="112"/>
        <v>2259.7199999999998</v>
      </c>
      <c r="F434" s="422"/>
      <c r="G434" s="416">
        <v>57.06</v>
      </c>
      <c r="H434" s="417">
        <v>2.0764999999999998</v>
      </c>
      <c r="I434" s="416">
        <f t="shared" si="113"/>
        <v>118.49</v>
      </c>
      <c r="J434" s="418">
        <f t="shared" si="114"/>
        <v>267754.21999999997</v>
      </c>
      <c r="K434" s="419">
        <f t="shared" si="115"/>
        <v>53550.84</v>
      </c>
      <c r="L434" s="420">
        <f t="shared" si="116"/>
        <v>321305.06</v>
      </c>
      <c r="M434" s="64"/>
      <c r="N434" s="77"/>
      <c r="O434" s="18"/>
      <c r="P434" s="22"/>
      <c r="Q434" s="22"/>
      <c r="R434" s="22"/>
    </row>
    <row r="435" spans="1:18" s="20" customFormat="1" ht="51" hidden="1" x14ac:dyDescent="0.2">
      <c r="A435" s="469" t="s">
        <v>1</v>
      </c>
      <c r="B435" s="422" t="s">
        <v>355</v>
      </c>
      <c r="C435" s="416">
        <f>(C433+C434)*1000*300/1000/1000</f>
        <v>116.0775</v>
      </c>
      <c r="D435" s="422">
        <v>11</v>
      </c>
      <c r="E435" s="422">
        <f t="shared" si="112"/>
        <v>1276.8499999999999</v>
      </c>
      <c r="F435" s="422"/>
      <c r="G435" s="416">
        <v>769.85</v>
      </c>
      <c r="H435" s="417">
        <v>2.0764999999999998</v>
      </c>
      <c r="I435" s="416">
        <f>ROUND(G435*H435,2)</f>
        <v>1598.59</v>
      </c>
      <c r="J435" s="418">
        <f>ROUND(I435*E435,2)</f>
        <v>2041159.64</v>
      </c>
      <c r="K435" s="419">
        <f>ROUND(J435*0.2,2)</f>
        <v>408231.93</v>
      </c>
      <c r="L435" s="420">
        <f>ROUND(J435+K435,2)</f>
        <v>2449391.5699999998</v>
      </c>
      <c r="M435" s="64"/>
      <c r="N435" s="77"/>
      <c r="O435" s="18"/>
      <c r="P435" s="22"/>
      <c r="Q435" s="22"/>
      <c r="R435" s="22"/>
    </row>
    <row r="436" spans="1:18" s="20" customFormat="1" ht="76.5" hidden="1" x14ac:dyDescent="0.2">
      <c r="A436" s="469" t="s">
        <v>114</v>
      </c>
      <c r="B436" s="422" t="s">
        <v>513</v>
      </c>
      <c r="C436" s="422">
        <v>1.94</v>
      </c>
      <c r="D436" s="422">
        <v>6</v>
      </c>
      <c r="E436" s="422">
        <f t="shared" si="112"/>
        <v>11.64</v>
      </c>
      <c r="F436" s="422"/>
      <c r="G436" s="416">
        <v>8421.01</v>
      </c>
      <c r="H436" s="417">
        <v>2.0764999999999998</v>
      </c>
      <c r="I436" s="416">
        <f t="shared" si="113"/>
        <v>17486.23</v>
      </c>
      <c r="J436" s="418">
        <f t="shared" si="114"/>
        <v>203539.72</v>
      </c>
      <c r="K436" s="419">
        <f t="shared" si="115"/>
        <v>40707.94</v>
      </c>
      <c r="L436" s="420">
        <f t="shared" si="116"/>
        <v>244247.66</v>
      </c>
      <c r="M436" s="64"/>
      <c r="N436" s="77"/>
      <c r="O436" s="18"/>
      <c r="P436" s="22"/>
      <c r="Q436" s="22"/>
      <c r="R436" s="22"/>
    </row>
    <row r="437" spans="1:18" s="20" customFormat="1" ht="38.25" hidden="1" x14ac:dyDescent="0.2">
      <c r="A437" s="469" t="s">
        <v>186</v>
      </c>
      <c r="B437" s="422" t="s">
        <v>354</v>
      </c>
      <c r="C437" s="422">
        <v>77.908000000000001</v>
      </c>
      <c r="D437" s="422">
        <v>2</v>
      </c>
      <c r="E437" s="422">
        <f t="shared" si="112"/>
        <v>155.82</v>
      </c>
      <c r="F437" s="422"/>
      <c r="G437" s="416">
        <v>234.64</v>
      </c>
      <c r="H437" s="417">
        <v>2.0764999999999998</v>
      </c>
      <c r="I437" s="416">
        <f t="shared" si="113"/>
        <v>487.23</v>
      </c>
      <c r="J437" s="418">
        <f t="shared" si="114"/>
        <v>75920.179999999993</v>
      </c>
      <c r="K437" s="419">
        <f t="shared" si="115"/>
        <v>15184.04</v>
      </c>
      <c r="L437" s="420">
        <f t="shared" si="116"/>
        <v>91104.22</v>
      </c>
      <c r="M437" s="64"/>
      <c r="N437" s="77"/>
      <c r="O437" s="18"/>
      <c r="P437" s="22"/>
      <c r="Q437" s="22"/>
      <c r="R437" s="22"/>
    </row>
    <row r="438" spans="1:18" s="20" customFormat="1" ht="38.25" hidden="1" x14ac:dyDescent="0.2">
      <c r="A438" s="469" t="s">
        <v>235</v>
      </c>
      <c r="B438" s="422" t="s">
        <v>354</v>
      </c>
      <c r="C438" s="422">
        <f>813</f>
        <v>813</v>
      </c>
      <c r="D438" s="422">
        <v>2</v>
      </c>
      <c r="E438" s="422">
        <f t="shared" si="112"/>
        <v>1626</v>
      </c>
      <c r="F438" s="422"/>
      <c r="G438" s="416">
        <v>238.67</v>
      </c>
      <c r="H438" s="417">
        <v>2.0764999999999998</v>
      </c>
      <c r="I438" s="416">
        <f t="shared" si="113"/>
        <v>495.6</v>
      </c>
      <c r="J438" s="418">
        <f t="shared" si="114"/>
        <v>805845.6</v>
      </c>
      <c r="K438" s="419">
        <f t="shared" si="115"/>
        <v>161169.12</v>
      </c>
      <c r="L438" s="420">
        <f t="shared" si="116"/>
        <v>967014.72</v>
      </c>
      <c r="M438" s="64"/>
      <c r="N438" s="77"/>
      <c r="O438" s="18"/>
      <c r="P438" s="22"/>
      <c r="Q438" s="22"/>
      <c r="R438" s="22"/>
    </row>
    <row r="439" spans="1:18" s="20" customFormat="1" ht="63.75" hidden="1" x14ac:dyDescent="0.2">
      <c r="A439" s="469" t="s">
        <v>171</v>
      </c>
      <c r="B439" s="422" t="s">
        <v>422</v>
      </c>
      <c r="C439" s="422">
        <v>422</v>
      </c>
      <c r="D439" s="422">
        <v>3</v>
      </c>
      <c r="E439" s="422">
        <f t="shared" si="112"/>
        <v>1266</v>
      </c>
      <c r="F439" s="422"/>
      <c r="G439" s="416">
        <v>12.79</v>
      </c>
      <c r="H439" s="417">
        <v>2.0764999999999998</v>
      </c>
      <c r="I439" s="416">
        <f t="shared" si="113"/>
        <v>26.56</v>
      </c>
      <c r="J439" s="418">
        <f t="shared" si="114"/>
        <v>33624.959999999999</v>
      </c>
      <c r="K439" s="419">
        <f t="shared" si="115"/>
        <v>6724.99</v>
      </c>
      <c r="L439" s="420">
        <f t="shared" si="116"/>
        <v>40349.949999999997</v>
      </c>
      <c r="M439" s="64"/>
      <c r="N439" s="77"/>
      <c r="O439" s="18"/>
      <c r="P439" s="22"/>
      <c r="Q439" s="22"/>
      <c r="R439" s="22"/>
    </row>
    <row r="440" spans="1:18" s="20" customFormat="1" ht="63.75" hidden="1" x14ac:dyDescent="0.2">
      <c r="A440" s="471" t="s">
        <v>485</v>
      </c>
      <c r="B440" s="422" t="s">
        <v>422</v>
      </c>
      <c r="C440" s="422">
        <v>639</v>
      </c>
      <c r="D440" s="422">
        <v>3</v>
      </c>
      <c r="E440" s="422">
        <f t="shared" si="112"/>
        <v>1917</v>
      </c>
      <c r="F440" s="425"/>
      <c r="G440" s="416">
        <v>10.81</v>
      </c>
      <c r="H440" s="417">
        <v>2.0764999999999998</v>
      </c>
      <c r="I440" s="416">
        <f t="shared" si="113"/>
        <v>22.45</v>
      </c>
      <c r="J440" s="418">
        <f t="shared" si="114"/>
        <v>43036.65</v>
      </c>
      <c r="K440" s="419">
        <f t="shared" si="115"/>
        <v>8607.33</v>
      </c>
      <c r="L440" s="420">
        <f t="shared" si="116"/>
        <v>51643.98</v>
      </c>
      <c r="M440" s="64"/>
      <c r="N440" s="77"/>
      <c r="O440" s="18"/>
      <c r="P440" s="22"/>
      <c r="Q440" s="22"/>
      <c r="R440" s="22"/>
    </row>
    <row r="441" spans="1:18" s="20" customFormat="1" ht="25.5" hidden="1" x14ac:dyDescent="0.2">
      <c r="A441" s="470" t="s">
        <v>487</v>
      </c>
      <c r="B441" s="422" t="s">
        <v>422</v>
      </c>
      <c r="C441" s="422">
        <v>693</v>
      </c>
      <c r="D441" s="422">
        <v>3</v>
      </c>
      <c r="E441" s="422">
        <f t="shared" si="112"/>
        <v>2079</v>
      </c>
      <c r="F441" s="425"/>
      <c r="G441" s="416">
        <v>8.8800000000000008</v>
      </c>
      <c r="H441" s="417">
        <v>2.0764999999999998</v>
      </c>
      <c r="I441" s="416">
        <f t="shared" si="113"/>
        <v>18.440000000000001</v>
      </c>
      <c r="J441" s="418">
        <f t="shared" si="114"/>
        <v>38336.76</v>
      </c>
      <c r="K441" s="419">
        <f t="shared" si="115"/>
        <v>7667.35</v>
      </c>
      <c r="L441" s="420">
        <f t="shared" si="116"/>
        <v>46004.11</v>
      </c>
      <c r="M441" s="64"/>
      <c r="N441" s="77"/>
      <c r="O441" s="18"/>
      <c r="P441" s="22"/>
      <c r="Q441" s="22"/>
      <c r="R441" s="22"/>
    </row>
    <row r="442" spans="1:18" s="20" customFormat="1" ht="25.5" hidden="1" x14ac:dyDescent="0.2">
      <c r="A442" s="470" t="s">
        <v>489</v>
      </c>
      <c r="B442" s="422" t="s">
        <v>433</v>
      </c>
      <c r="C442" s="422">
        <v>1740</v>
      </c>
      <c r="D442" s="422">
        <v>6</v>
      </c>
      <c r="E442" s="422">
        <f t="shared" si="112"/>
        <v>10440</v>
      </c>
      <c r="F442" s="425"/>
      <c r="G442" s="416">
        <v>1.99</v>
      </c>
      <c r="H442" s="417">
        <v>2.0764999999999998</v>
      </c>
      <c r="I442" s="416">
        <f t="shared" si="113"/>
        <v>4.13</v>
      </c>
      <c r="J442" s="418">
        <f t="shared" si="114"/>
        <v>43117.2</v>
      </c>
      <c r="K442" s="419">
        <f t="shared" si="115"/>
        <v>8623.44</v>
      </c>
      <c r="L442" s="420">
        <f t="shared" si="116"/>
        <v>51740.639999999999</v>
      </c>
      <c r="M442" s="64"/>
      <c r="N442" s="77"/>
      <c r="O442" s="18"/>
      <c r="P442" s="22"/>
      <c r="Q442" s="22"/>
      <c r="R442" s="22"/>
    </row>
    <row r="443" spans="1:18" s="20" customFormat="1" ht="25.5" hidden="1" x14ac:dyDescent="0.2">
      <c r="A443" s="470" t="s">
        <v>491</v>
      </c>
      <c r="B443" s="422" t="s">
        <v>433</v>
      </c>
      <c r="C443" s="422">
        <v>1740</v>
      </c>
      <c r="D443" s="422">
        <v>6</v>
      </c>
      <c r="E443" s="422">
        <f t="shared" si="112"/>
        <v>10440</v>
      </c>
      <c r="F443" s="425"/>
      <c r="G443" s="416">
        <v>4.8899999999999997</v>
      </c>
      <c r="H443" s="417">
        <v>2.0764999999999998</v>
      </c>
      <c r="I443" s="416">
        <f t="shared" si="113"/>
        <v>10.15</v>
      </c>
      <c r="J443" s="418">
        <f t="shared" si="114"/>
        <v>105966</v>
      </c>
      <c r="K443" s="419">
        <f t="shared" si="115"/>
        <v>21193.200000000001</v>
      </c>
      <c r="L443" s="420">
        <f t="shared" si="116"/>
        <v>127159.2</v>
      </c>
      <c r="M443" s="64"/>
      <c r="N443" s="77"/>
      <c r="O443" s="18"/>
      <c r="P443" s="22"/>
      <c r="Q443" s="22"/>
      <c r="R443" s="22"/>
    </row>
    <row r="444" spans="1:18" s="20" customFormat="1" ht="25.5" hidden="1" x14ac:dyDescent="0.2">
      <c r="A444" s="469" t="s">
        <v>95</v>
      </c>
      <c r="B444" s="422" t="s">
        <v>354</v>
      </c>
      <c r="C444" s="422">
        <f>17.11</f>
        <v>17.11</v>
      </c>
      <c r="D444" s="422">
        <v>10</v>
      </c>
      <c r="E444" s="422">
        <f t="shared" si="112"/>
        <v>171.1</v>
      </c>
      <c r="F444" s="425"/>
      <c r="G444" s="416">
        <v>320.39999999999998</v>
      </c>
      <c r="H444" s="417">
        <v>2.0764999999999998</v>
      </c>
      <c r="I444" s="416">
        <f>ROUND(G444*H444,2)</f>
        <v>665.31</v>
      </c>
      <c r="J444" s="418">
        <f>ROUND(I444*E444,2)</f>
        <v>113834.54</v>
      </c>
      <c r="K444" s="419">
        <f>ROUND(J444*0.2,2)</f>
        <v>22766.91</v>
      </c>
      <c r="L444" s="420">
        <f>ROUND(J444+K444,2)</f>
        <v>136601.45000000001</v>
      </c>
      <c r="M444" s="64"/>
      <c r="N444" s="77"/>
      <c r="O444" s="18"/>
      <c r="P444" s="22"/>
      <c r="Q444" s="22"/>
      <c r="R444" s="22"/>
    </row>
    <row r="445" spans="1:18" s="20" customFormat="1" ht="89.25" hidden="1" x14ac:dyDescent="0.2">
      <c r="A445" s="472" t="s">
        <v>512</v>
      </c>
      <c r="B445" s="422" t="s">
        <v>507</v>
      </c>
      <c r="C445" s="422">
        <v>7</v>
      </c>
      <c r="D445" s="422">
        <v>3</v>
      </c>
      <c r="E445" s="422">
        <f t="shared" si="112"/>
        <v>21</v>
      </c>
      <c r="F445" s="422"/>
      <c r="G445" s="416">
        <v>4248.72</v>
      </c>
      <c r="H445" s="417">
        <v>2.0764999999999998</v>
      </c>
      <c r="I445" s="416">
        <f t="shared" si="113"/>
        <v>8822.4699999999993</v>
      </c>
      <c r="J445" s="418">
        <f t="shared" si="114"/>
        <v>185271.87</v>
      </c>
      <c r="K445" s="419">
        <f t="shared" si="115"/>
        <v>37054.370000000003</v>
      </c>
      <c r="L445" s="420">
        <f t="shared" si="116"/>
        <v>222326.24</v>
      </c>
      <c r="M445" s="64"/>
      <c r="N445" s="77"/>
      <c r="O445" s="18"/>
      <c r="P445" s="22"/>
      <c r="Q445" s="22"/>
      <c r="R445" s="22"/>
    </row>
    <row r="446" spans="1:18" s="20" customFormat="1" ht="38.25" hidden="1" x14ac:dyDescent="0.2">
      <c r="A446" s="470" t="s">
        <v>523</v>
      </c>
      <c r="B446" s="422" t="s">
        <v>507</v>
      </c>
      <c r="C446" s="422">
        <v>1</v>
      </c>
      <c r="D446" s="422">
        <v>90</v>
      </c>
      <c r="E446" s="422">
        <f>D446*C446</f>
        <v>90</v>
      </c>
      <c r="F446" s="422"/>
      <c r="G446" s="416">
        <v>535.76</v>
      </c>
      <c r="H446" s="435">
        <v>1.0680000000000001</v>
      </c>
      <c r="I446" s="416">
        <f>ROUND(G446*H446,2)</f>
        <v>572.19000000000005</v>
      </c>
      <c r="J446" s="418">
        <f>ROUND(I446*E446,2)</f>
        <v>51497.1</v>
      </c>
      <c r="K446" s="419">
        <f>ROUND(J446*0.2,2)</f>
        <v>10299.42</v>
      </c>
      <c r="L446" s="420">
        <f>ROUND(J446+K446,2)</f>
        <v>61796.52</v>
      </c>
      <c r="M446" s="64"/>
      <c r="N446" s="77"/>
      <c r="O446" s="18"/>
      <c r="P446" s="22"/>
      <c r="Q446" s="22"/>
      <c r="R446" s="22"/>
    </row>
    <row r="447" spans="1:18" s="20" customFormat="1" ht="63.75" hidden="1" x14ac:dyDescent="0.2">
      <c r="A447" s="473" t="s">
        <v>52</v>
      </c>
      <c r="B447" s="422"/>
      <c r="C447" s="422"/>
      <c r="D447" s="422"/>
      <c r="E447" s="422"/>
      <c r="F447" s="415"/>
      <c r="G447" s="416"/>
      <c r="H447" s="417"/>
      <c r="I447" s="416"/>
      <c r="J447" s="418"/>
      <c r="K447" s="419"/>
      <c r="L447" s="420"/>
      <c r="M447" s="64"/>
      <c r="N447" s="77"/>
      <c r="O447" s="18"/>
      <c r="P447" s="22"/>
      <c r="Q447" s="22"/>
      <c r="R447" s="22"/>
    </row>
    <row r="448" spans="1:18" s="20" customFormat="1" ht="12.75" hidden="1" x14ac:dyDescent="0.2">
      <c r="A448" s="469" t="s">
        <v>119</v>
      </c>
      <c r="B448" s="422" t="s">
        <v>439</v>
      </c>
      <c r="C448" s="422">
        <v>1.35</v>
      </c>
      <c r="D448" s="422">
        <v>3</v>
      </c>
      <c r="E448" s="422">
        <f>ROUND(D448*C448,2)</f>
        <v>4.05</v>
      </c>
      <c r="F448" s="415"/>
      <c r="G448" s="416">
        <v>7314.22</v>
      </c>
      <c r="H448" s="417">
        <v>2.0764999999999998</v>
      </c>
      <c r="I448" s="416">
        <f>ROUND(G448*H448,2)</f>
        <v>15187.98</v>
      </c>
      <c r="J448" s="418">
        <f>ROUND(I448*E448,2)</f>
        <v>61511.32</v>
      </c>
      <c r="K448" s="419">
        <f>ROUND(J448*0.2,2)</f>
        <v>12302.26</v>
      </c>
      <c r="L448" s="420">
        <f>ROUND(J448+K448,2)</f>
        <v>73813.58</v>
      </c>
      <c r="M448" s="64"/>
      <c r="N448" s="77"/>
      <c r="O448" s="18"/>
      <c r="P448" s="22"/>
      <c r="Q448" s="22"/>
      <c r="R448" s="22"/>
    </row>
    <row r="449" spans="1:18" s="20" customFormat="1" ht="38.25" hidden="1" x14ac:dyDescent="0.2">
      <c r="A449" s="470" t="s">
        <v>327</v>
      </c>
      <c r="B449" s="422" t="s">
        <v>355</v>
      </c>
      <c r="C449" s="422">
        <v>141</v>
      </c>
      <c r="D449" s="422">
        <v>6</v>
      </c>
      <c r="E449" s="422">
        <f>ROUND(D449*C449,2)</f>
        <v>846</v>
      </c>
      <c r="F449" s="415"/>
      <c r="G449" s="416">
        <v>30.5</v>
      </c>
      <c r="H449" s="417">
        <v>2.0764999999999998</v>
      </c>
      <c r="I449" s="416">
        <f>ROUND(G449*H449,2)</f>
        <v>63.33</v>
      </c>
      <c r="J449" s="418">
        <f>ROUND(I449*E449,2)</f>
        <v>53577.18</v>
      </c>
      <c r="K449" s="419">
        <f>ROUND(J449*0.2,2)</f>
        <v>10715.44</v>
      </c>
      <c r="L449" s="420">
        <f>ROUND(J449+K449,2)</f>
        <v>64292.62</v>
      </c>
      <c r="M449" s="64"/>
      <c r="N449" s="77"/>
      <c r="O449" s="18"/>
      <c r="P449" s="22"/>
      <c r="Q449" s="22"/>
      <c r="R449" s="22"/>
    </row>
    <row r="450" spans="1:18" s="20" customFormat="1" ht="76.5" hidden="1" x14ac:dyDescent="0.2">
      <c r="A450" s="470" t="s">
        <v>329</v>
      </c>
      <c r="B450" s="422" t="s">
        <v>355</v>
      </c>
      <c r="C450" s="422">
        <v>141</v>
      </c>
      <c r="D450" s="422">
        <v>6</v>
      </c>
      <c r="E450" s="422">
        <f>ROUND(D450*C450,2)</f>
        <v>846</v>
      </c>
      <c r="F450" s="452"/>
      <c r="G450" s="416">
        <v>4.29</v>
      </c>
      <c r="H450" s="417">
        <v>2.0764999999999998</v>
      </c>
      <c r="I450" s="416">
        <f>ROUND(G450*H450,2)</f>
        <v>8.91</v>
      </c>
      <c r="J450" s="418">
        <f>ROUND(I450*E450,2)</f>
        <v>7537.86</v>
      </c>
      <c r="K450" s="419">
        <f>ROUND(J450*0.2,2)</f>
        <v>1507.57</v>
      </c>
      <c r="L450" s="420">
        <f>ROUND(J450+K450,2)</f>
        <v>9045.43</v>
      </c>
      <c r="M450" s="64"/>
      <c r="N450" s="77"/>
      <c r="O450" s="18"/>
      <c r="P450" s="22"/>
      <c r="Q450" s="22"/>
      <c r="R450" s="22"/>
    </row>
    <row r="451" spans="1:18" s="20" customFormat="1" ht="38.25" hidden="1" x14ac:dyDescent="0.2">
      <c r="A451" s="469" t="s">
        <v>524</v>
      </c>
      <c r="B451" s="422" t="s">
        <v>433</v>
      </c>
      <c r="C451" s="422">
        <v>900</v>
      </c>
      <c r="D451" s="422">
        <v>6</v>
      </c>
      <c r="E451" s="422">
        <f>ROUND(C451*D451,2)</f>
        <v>5400</v>
      </c>
      <c r="F451" s="422"/>
      <c r="G451" s="416">
        <v>4.8899999999999997</v>
      </c>
      <c r="H451" s="417">
        <v>2.0764999999999998</v>
      </c>
      <c r="I451" s="416">
        <f>ROUND(G451*H451,2)</f>
        <v>10.15</v>
      </c>
      <c r="J451" s="418">
        <f>ROUND(I451*E451,2)</f>
        <v>54810</v>
      </c>
      <c r="K451" s="419">
        <f>ROUND(J451*0.2,2)</f>
        <v>10962</v>
      </c>
      <c r="L451" s="420">
        <f>ROUND(J451+K451,2)</f>
        <v>65772</v>
      </c>
      <c r="M451" s="64"/>
      <c r="N451" s="77"/>
      <c r="O451" s="18"/>
      <c r="P451" s="22"/>
      <c r="Q451" s="22"/>
      <c r="R451" s="22"/>
    </row>
    <row r="452" spans="1:18" s="20" customFormat="1" ht="51" hidden="1" x14ac:dyDescent="0.2">
      <c r="A452" s="68" t="s">
        <v>53</v>
      </c>
      <c r="B452" s="422"/>
      <c r="C452" s="422"/>
      <c r="D452" s="422"/>
      <c r="E452" s="422"/>
      <c r="F452" s="422"/>
      <c r="G452" s="416"/>
      <c r="H452" s="417"/>
      <c r="I452" s="416"/>
      <c r="J452" s="418"/>
      <c r="K452" s="419"/>
      <c r="L452" s="420"/>
      <c r="M452" s="64"/>
      <c r="N452" s="77"/>
      <c r="O452" s="18"/>
      <c r="P452" s="22"/>
      <c r="Q452" s="22"/>
      <c r="R452" s="22"/>
    </row>
    <row r="453" spans="1:18" s="20" customFormat="1" ht="102" hidden="1" x14ac:dyDescent="0.2">
      <c r="A453" s="474" t="s">
        <v>54</v>
      </c>
      <c r="B453" s="422"/>
      <c r="C453" s="422"/>
      <c r="D453" s="422"/>
      <c r="E453" s="422"/>
      <c r="F453" s="422"/>
      <c r="G453" s="422"/>
      <c r="H453" s="417"/>
      <c r="I453" s="416"/>
      <c r="J453" s="418"/>
      <c r="K453" s="419"/>
      <c r="L453" s="420"/>
      <c r="M453" s="64"/>
      <c r="N453" s="77"/>
      <c r="O453" s="18"/>
      <c r="P453" s="22"/>
      <c r="Q453" s="22"/>
      <c r="R453" s="22"/>
    </row>
    <row r="454" spans="1:18" s="20" customFormat="1" ht="51" hidden="1" x14ac:dyDescent="0.2">
      <c r="A454" s="469" t="s">
        <v>89</v>
      </c>
      <c r="B454" s="422" t="s">
        <v>422</v>
      </c>
      <c r="C454" s="422">
        <v>3</v>
      </c>
      <c r="D454" s="422">
        <v>2</v>
      </c>
      <c r="E454" s="422">
        <f>ROUND(C454*D454,2)</f>
        <v>6</v>
      </c>
      <c r="F454" s="422"/>
      <c r="G454" s="416">
        <v>964.56</v>
      </c>
      <c r="H454" s="417">
        <v>2.0764999999999998</v>
      </c>
      <c r="I454" s="416">
        <f>ROUND(G454*H454,2)</f>
        <v>2002.91</v>
      </c>
      <c r="J454" s="418">
        <f>ROUND(I454*E454,2)</f>
        <v>12017.46</v>
      </c>
      <c r="K454" s="419">
        <f>ROUND(J454*0.2,2)</f>
        <v>2403.4899999999998</v>
      </c>
      <c r="L454" s="420">
        <f>ROUND(J454+K454,2)</f>
        <v>14420.95</v>
      </c>
      <c r="M454" s="64"/>
      <c r="N454" s="77"/>
      <c r="O454" s="18"/>
      <c r="P454" s="22"/>
      <c r="Q454" s="22"/>
      <c r="R454" s="22"/>
    </row>
    <row r="455" spans="1:18" s="20" customFormat="1" ht="51" hidden="1" x14ac:dyDescent="0.2">
      <c r="A455" s="469" t="s">
        <v>424</v>
      </c>
      <c r="B455" s="422" t="s">
        <v>422</v>
      </c>
      <c r="C455" s="422">
        <v>1</v>
      </c>
      <c r="D455" s="422">
        <v>2</v>
      </c>
      <c r="E455" s="422">
        <f>ROUND(C455*D455,2)</f>
        <v>2</v>
      </c>
      <c r="F455" s="422"/>
      <c r="G455" s="416">
        <v>161.86000000000001</v>
      </c>
      <c r="H455" s="417">
        <v>10.5305</v>
      </c>
      <c r="I455" s="416">
        <f>ROUND(G455*H455,2)</f>
        <v>1704.47</v>
      </c>
      <c r="J455" s="418">
        <f>ROUND(I455*E455,2)</f>
        <v>3408.94</v>
      </c>
      <c r="K455" s="419">
        <f>ROUND(J455*0.2,2)</f>
        <v>681.79</v>
      </c>
      <c r="L455" s="420">
        <f>ROUND(J455+K455,2)</f>
        <v>4090.73</v>
      </c>
      <c r="M455" s="64"/>
      <c r="N455" s="77">
        <v>13733.93</v>
      </c>
      <c r="O455" s="18">
        <v>3049</v>
      </c>
      <c r="P455" s="22"/>
      <c r="Q455" s="22"/>
      <c r="R455" s="22"/>
    </row>
    <row r="456" spans="1:18" s="20" customFormat="1" ht="51" hidden="1" x14ac:dyDescent="0.2">
      <c r="A456" s="469" t="s">
        <v>428</v>
      </c>
      <c r="B456" s="422" t="s">
        <v>422</v>
      </c>
      <c r="C456" s="422">
        <v>1</v>
      </c>
      <c r="D456" s="422">
        <v>2</v>
      </c>
      <c r="E456" s="422">
        <f>ROUND(C456*D456,2)</f>
        <v>2</v>
      </c>
      <c r="F456" s="422"/>
      <c r="G456" s="416">
        <v>135.63999999999999</v>
      </c>
      <c r="H456" s="417">
        <v>10.5305</v>
      </c>
      <c r="I456" s="416">
        <f>ROUND(G456*H456,2)</f>
        <v>1428.36</v>
      </c>
      <c r="J456" s="418">
        <f>ROUND(I456*E456,2)</f>
        <v>2856.72</v>
      </c>
      <c r="K456" s="419">
        <f>ROUND(J456*0.2,2)</f>
        <v>571.34</v>
      </c>
      <c r="L456" s="420">
        <f>ROUND(J456+K456,2)</f>
        <v>3428.06</v>
      </c>
      <c r="M456" s="64"/>
      <c r="N456" s="77">
        <v>1853.5800000000002</v>
      </c>
      <c r="O456" s="18">
        <v>15900.48</v>
      </c>
      <c r="P456" s="22"/>
      <c r="Q456" s="22"/>
      <c r="R456" s="22"/>
    </row>
    <row r="457" spans="1:18" s="20" customFormat="1" ht="38.25" hidden="1" x14ac:dyDescent="0.2">
      <c r="A457" s="469" t="s">
        <v>90</v>
      </c>
      <c r="B457" s="422" t="s">
        <v>91</v>
      </c>
      <c r="C457" s="422">
        <v>4.0640000000000001</v>
      </c>
      <c r="D457" s="422">
        <v>1</v>
      </c>
      <c r="E457" s="422">
        <f>ROUND(C457*D457,2)</f>
        <v>4.0599999999999996</v>
      </c>
      <c r="F457" s="422">
        <v>8.52</v>
      </c>
      <c r="G457" s="416">
        <f>F457/1.2</f>
        <v>7.1</v>
      </c>
      <c r="H457" s="417">
        <v>1.1898</v>
      </c>
      <c r="I457" s="416">
        <f>ROUND(G457*H457,2)</f>
        <v>8.4499999999999993</v>
      </c>
      <c r="J457" s="418">
        <f>ROUND(I457*E457,2)</f>
        <v>34.31</v>
      </c>
      <c r="K457" s="419">
        <f>ROUND(J457*0.2,2)</f>
        <v>6.86</v>
      </c>
      <c r="L457" s="420">
        <f>ROUND(J457+K457,2)</f>
        <v>41.17</v>
      </c>
      <c r="M457" s="144">
        <v>75688.37</v>
      </c>
      <c r="N457" s="77">
        <v>4659.95</v>
      </c>
      <c r="O457" s="18">
        <v>14629.68</v>
      </c>
      <c r="P457" s="22"/>
      <c r="Q457" s="22"/>
      <c r="R457" s="22"/>
    </row>
    <row r="458" spans="1:18" s="20" customFormat="1" ht="76.5" hidden="1" x14ac:dyDescent="0.2">
      <c r="A458" s="70" t="s">
        <v>55</v>
      </c>
      <c r="B458" s="229"/>
      <c r="C458" s="229"/>
      <c r="D458" s="229"/>
      <c r="E458" s="229"/>
      <c r="F458" s="475"/>
      <c r="G458" s="475"/>
      <c r="H458" s="422"/>
      <c r="I458" s="416"/>
      <c r="J458" s="418"/>
      <c r="K458" s="419"/>
      <c r="L458" s="420"/>
      <c r="M458" s="64"/>
      <c r="N458" s="77">
        <v>11002.01</v>
      </c>
      <c r="O458" s="18">
        <v>73204.17</v>
      </c>
      <c r="P458" s="22"/>
      <c r="Q458" s="22"/>
      <c r="R458" s="22"/>
    </row>
    <row r="459" spans="1:18" s="20" customFormat="1" ht="51" hidden="1" x14ac:dyDescent="0.2">
      <c r="A459" s="469" t="s">
        <v>89</v>
      </c>
      <c r="B459" s="422" t="s">
        <v>422</v>
      </c>
      <c r="C459" s="422">
        <v>6</v>
      </c>
      <c r="D459" s="422">
        <v>3</v>
      </c>
      <c r="E459" s="422">
        <f>ROUND(C459*D459,2)</f>
        <v>18</v>
      </c>
      <c r="F459" s="422"/>
      <c r="G459" s="416">
        <v>964.56</v>
      </c>
      <c r="H459" s="417">
        <v>2.0764999999999998</v>
      </c>
      <c r="I459" s="416">
        <f>ROUND(G459*H459,2)</f>
        <v>2002.91</v>
      </c>
      <c r="J459" s="418">
        <f>ROUND(I459*E459,2)</f>
        <v>36052.379999999997</v>
      </c>
      <c r="K459" s="419">
        <f>ROUND(J459*0.2,2)</f>
        <v>7210.48</v>
      </c>
      <c r="L459" s="420">
        <f>ROUND(J459+K459,2)</f>
        <v>43262.86</v>
      </c>
      <c r="M459" s="64"/>
      <c r="N459" s="77"/>
      <c r="O459" s="18"/>
      <c r="P459" s="22"/>
      <c r="Q459" s="22"/>
      <c r="R459" s="22"/>
    </row>
    <row r="460" spans="1:18" s="20" customFormat="1" ht="51" hidden="1" x14ac:dyDescent="0.2">
      <c r="A460" s="469" t="s">
        <v>424</v>
      </c>
      <c r="B460" s="422" t="s">
        <v>422</v>
      </c>
      <c r="C460" s="422">
        <v>1</v>
      </c>
      <c r="D460" s="422">
        <v>2</v>
      </c>
      <c r="E460" s="422">
        <f>ROUND(C460*D460,2)</f>
        <v>2</v>
      </c>
      <c r="F460" s="422"/>
      <c r="G460" s="416">
        <v>161.86000000000001</v>
      </c>
      <c r="H460" s="417">
        <v>10.5305</v>
      </c>
      <c r="I460" s="416">
        <f>ROUND(G460*H460,2)</f>
        <v>1704.47</v>
      </c>
      <c r="J460" s="418">
        <f>ROUND(I460*E460,2)</f>
        <v>3408.94</v>
      </c>
      <c r="K460" s="419">
        <f>ROUND(J460*0.2,2)</f>
        <v>681.79</v>
      </c>
      <c r="L460" s="420">
        <f>ROUND(J460+K460,2)</f>
        <v>4090.73</v>
      </c>
      <c r="M460" s="64"/>
      <c r="N460" s="77">
        <v>18311.900000000001</v>
      </c>
      <c r="O460" s="18">
        <v>6098</v>
      </c>
      <c r="P460" s="22"/>
      <c r="Q460" s="22"/>
      <c r="R460" s="22"/>
    </row>
    <row r="461" spans="1:18" s="20" customFormat="1" ht="51" hidden="1" x14ac:dyDescent="0.2">
      <c r="A461" s="469" t="s">
        <v>428</v>
      </c>
      <c r="B461" s="422" t="s">
        <v>422</v>
      </c>
      <c r="C461" s="422">
        <v>1</v>
      </c>
      <c r="D461" s="422">
        <v>2</v>
      </c>
      <c r="E461" s="422">
        <f>ROUND(C461*D461,2)</f>
        <v>2</v>
      </c>
      <c r="F461" s="422"/>
      <c r="G461" s="416">
        <v>135.63999999999999</v>
      </c>
      <c r="H461" s="417">
        <v>10.5305</v>
      </c>
      <c r="I461" s="416">
        <f>ROUND(G461*H461,2)</f>
        <v>1428.36</v>
      </c>
      <c r="J461" s="418">
        <f>ROUND(I461*E461,2)</f>
        <v>2856.72</v>
      </c>
      <c r="K461" s="419">
        <f>ROUND(J461*0.2,2)</f>
        <v>571.34</v>
      </c>
      <c r="L461" s="420">
        <f>ROUND(J461+K461,2)</f>
        <v>3428.06</v>
      </c>
      <c r="M461" s="64"/>
      <c r="N461" s="77">
        <v>1853.5800000000002</v>
      </c>
      <c r="O461" s="18">
        <v>15900.48</v>
      </c>
      <c r="P461" s="22"/>
      <c r="Q461" s="22"/>
      <c r="R461" s="22"/>
    </row>
    <row r="462" spans="1:18" s="20" customFormat="1" ht="38.25" hidden="1" x14ac:dyDescent="0.2">
      <c r="A462" s="469" t="s">
        <v>90</v>
      </c>
      <c r="B462" s="422" t="s">
        <v>91</v>
      </c>
      <c r="C462" s="422">
        <v>13094</v>
      </c>
      <c r="D462" s="422">
        <v>1</v>
      </c>
      <c r="E462" s="422">
        <f>ROUND(C462*D462,2)</f>
        <v>13094</v>
      </c>
      <c r="F462" s="422">
        <v>8.52</v>
      </c>
      <c r="G462" s="416">
        <f>F462/1.2</f>
        <v>7.1</v>
      </c>
      <c r="H462" s="417">
        <v>1.1898</v>
      </c>
      <c r="I462" s="416">
        <f>ROUND(G462*H462,2)</f>
        <v>8.4499999999999993</v>
      </c>
      <c r="J462" s="418">
        <f>ROUND(I462*E462,2)</f>
        <v>110644.3</v>
      </c>
      <c r="K462" s="419">
        <f>ROUND(J462*0.2,2)</f>
        <v>22128.86</v>
      </c>
      <c r="L462" s="420">
        <f>ROUND(J462+K462,2)</f>
        <v>132773.16</v>
      </c>
      <c r="M462" s="144">
        <v>183646.8</v>
      </c>
      <c r="N462" s="77">
        <v>4659.95</v>
      </c>
      <c r="O462" s="18">
        <v>14629.68</v>
      </c>
      <c r="P462" s="22"/>
      <c r="Q462" s="22"/>
      <c r="R462" s="22"/>
    </row>
    <row r="463" spans="1:18" s="20" customFormat="1" ht="63.75" hidden="1" x14ac:dyDescent="0.2">
      <c r="A463" s="67" t="s">
        <v>56</v>
      </c>
      <c r="B463" s="422"/>
      <c r="C463" s="422"/>
      <c r="D463" s="422"/>
      <c r="E463" s="422"/>
      <c r="F463" s="422"/>
      <c r="G463" s="416"/>
      <c r="H463" s="422"/>
      <c r="I463" s="416"/>
      <c r="J463" s="418"/>
      <c r="K463" s="419"/>
      <c r="L463" s="420"/>
      <c r="M463" s="64"/>
      <c r="N463" s="77">
        <v>35530.490000000005</v>
      </c>
      <c r="O463" s="18">
        <v>228735</v>
      </c>
      <c r="P463" s="22"/>
      <c r="Q463" s="22"/>
      <c r="R463" s="22"/>
    </row>
    <row r="464" spans="1:18" s="20" customFormat="1" ht="76.5" hidden="1" x14ac:dyDescent="0.2">
      <c r="A464" s="169" t="s">
        <v>57</v>
      </c>
      <c r="B464" s="243"/>
      <c r="C464" s="243"/>
      <c r="D464" s="243"/>
      <c r="E464" s="243"/>
      <c r="F464" s="422"/>
      <c r="G464" s="422"/>
      <c r="H464" s="422"/>
      <c r="I464" s="416"/>
      <c r="J464" s="418"/>
      <c r="K464" s="419"/>
      <c r="L464" s="420"/>
      <c r="M464" s="64"/>
      <c r="N464" s="77"/>
      <c r="O464" s="18"/>
      <c r="P464" s="22"/>
      <c r="Q464" s="22"/>
      <c r="R464" s="22"/>
    </row>
    <row r="465" spans="1:18" s="20" customFormat="1" ht="12.75" hidden="1" x14ac:dyDescent="0.2">
      <c r="A465" s="176" t="s">
        <v>441</v>
      </c>
      <c r="B465" s="422"/>
      <c r="C465" s="422"/>
      <c r="D465" s="422"/>
      <c r="E465" s="422"/>
      <c r="F465" s="422"/>
      <c r="G465" s="422"/>
      <c r="H465" s="422"/>
      <c r="I465" s="416"/>
      <c r="J465" s="418"/>
      <c r="K465" s="419"/>
      <c r="L465" s="420"/>
      <c r="M465" s="64"/>
      <c r="N465" s="77"/>
      <c r="O465" s="18"/>
      <c r="P465" s="22"/>
      <c r="Q465" s="22"/>
      <c r="R465" s="22"/>
    </row>
    <row r="466" spans="1:18" s="20" customFormat="1" ht="25.5" hidden="1" x14ac:dyDescent="0.2">
      <c r="A466" s="469" t="s">
        <v>116</v>
      </c>
      <c r="B466" s="422" t="s">
        <v>118</v>
      </c>
      <c r="C466" s="422">
        <v>1.9530000000000001</v>
      </c>
      <c r="D466" s="422">
        <v>2</v>
      </c>
      <c r="E466" s="422">
        <f>ROUND(C466*D466,2)</f>
        <v>3.91</v>
      </c>
      <c r="F466" s="422"/>
      <c r="G466" s="416">
        <v>44.32</v>
      </c>
      <c r="H466" s="417">
        <v>2.0764999999999998</v>
      </c>
      <c r="I466" s="416">
        <f>ROUND(G466*H466,2)</f>
        <v>92.03</v>
      </c>
      <c r="J466" s="418">
        <f>ROUND(I466*E466,2)</f>
        <v>359.84</v>
      </c>
      <c r="K466" s="419">
        <f>ROUND(J466*0.2,2)</f>
        <v>71.97</v>
      </c>
      <c r="L466" s="420">
        <f>ROUND(J466+K466,2)</f>
        <v>431.81</v>
      </c>
      <c r="M466" s="134">
        <v>48233.04</v>
      </c>
      <c r="N466" s="77"/>
      <c r="O466" s="18"/>
      <c r="P466" s="22"/>
      <c r="Q466" s="22"/>
      <c r="R466" s="22"/>
    </row>
    <row r="467" spans="1:18" s="20" customFormat="1" ht="25.5" hidden="1" x14ac:dyDescent="0.2">
      <c r="A467" s="469" t="s">
        <v>117</v>
      </c>
      <c r="B467" s="422" t="s">
        <v>432</v>
      </c>
      <c r="C467" s="422">
        <v>0.27</v>
      </c>
      <c r="D467" s="422">
        <v>3</v>
      </c>
      <c r="E467" s="422">
        <f>ROUND(C467*D467,2)</f>
        <v>0.81</v>
      </c>
      <c r="F467" s="422"/>
      <c r="G467" s="416">
        <v>4728.2</v>
      </c>
      <c r="H467" s="417">
        <v>2.0764999999999998</v>
      </c>
      <c r="I467" s="416">
        <f>ROUND(G467*H467,2)</f>
        <v>9818.11</v>
      </c>
      <c r="J467" s="418">
        <f>ROUND(I467*E467,2)</f>
        <v>7952.67</v>
      </c>
      <c r="K467" s="419">
        <f>ROUND(J467*0.2,2)</f>
        <v>1590.53</v>
      </c>
      <c r="L467" s="420">
        <f>ROUND(J467+K467,2)</f>
        <v>9543.2000000000007</v>
      </c>
      <c r="M467" s="64"/>
      <c r="N467" s="77">
        <v>277.72000000000003</v>
      </c>
      <c r="O467" s="18">
        <v>277.45</v>
      </c>
      <c r="P467" s="22"/>
      <c r="Q467" s="22"/>
      <c r="R467" s="22"/>
    </row>
    <row r="468" spans="1:18" s="20" customFormat="1" ht="51" hidden="1" x14ac:dyDescent="0.2">
      <c r="A468" s="470" t="s">
        <v>493</v>
      </c>
      <c r="B468" s="422" t="s">
        <v>433</v>
      </c>
      <c r="C468" s="422">
        <v>200</v>
      </c>
      <c r="D468" s="422">
        <v>1</v>
      </c>
      <c r="E468" s="422">
        <f>ROUND(C468*D468,2)</f>
        <v>200</v>
      </c>
      <c r="F468" s="422"/>
      <c r="G468" s="416">
        <v>83.24</v>
      </c>
      <c r="H468" s="417">
        <v>2.0764999999999998</v>
      </c>
      <c r="I468" s="416">
        <f>ROUND(G468*H468,2)</f>
        <v>172.85</v>
      </c>
      <c r="J468" s="418">
        <f>ROUND(I468*E468,2)</f>
        <v>34570</v>
      </c>
      <c r="K468" s="419">
        <f>ROUND(J468*0.2,2)</f>
        <v>6914</v>
      </c>
      <c r="L468" s="420">
        <f>ROUND(J468+K468,2)</f>
        <v>41484</v>
      </c>
      <c r="M468" s="64"/>
      <c r="N468" s="77">
        <v>6138.19</v>
      </c>
      <c r="O468" s="18">
        <v>12264.4</v>
      </c>
      <c r="P468" s="22"/>
      <c r="Q468" s="22"/>
      <c r="R468" s="22"/>
    </row>
    <row r="469" spans="1:18" s="20" customFormat="1" ht="51" hidden="1" x14ac:dyDescent="0.2">
      <c r="A469" s="476" t="s">
        <v>471</v>
      </c>
      <c r="B469" s="422" t="s">
        <v>433</v>
      </c>
      <c r="C469" s="422">
        <v>200</v>
      </c>
      <c r="D469" s="422">
        <v>2</v>
      </c>
      <c r="E469" s="422">
        <f>ROUND(C469*D469,2)</f>
        <v>400</v>
      </c>
      <c r="F469" s="422"/>
      <c r="G469" s="416">
        <v>2.89</v>
      </c>
      <c r="H469" s="417">
        <v>2.0764999999999998</v>
      </c>
      <c r="I469" s="416">
        <f>ROUND(G469*H469,2)</f>
        <v>6</v>
      </c>
      <c r="J469" s="418">
        <f>ROUND(I469*E469,2)</f>
        <v>2400</v>
      </c>
      <c r="K469" s="419">
        <f>ROUND(J469*0.2,2)</f>
        <v>480</v>
      </c>
      <c r="L469" s="420">
        <f>ROUND(J469+K469,2)</f>
        <v>2880</v>
      </c>
      <c r="M469" s="64"/>
      <c r="N469" s="77"/>
      <c r="O469" s="18"/>
      <c r="P469" s="22"/>
      <c r="Q469" s="22"/>
      <c r="R469" s="22"/>
    </row>
    <row r="470" spans="1:18" s="20" customFormat="1" ht="12.75" hidden="1" x14ac:dyDescent="0.2">
      <c r="A470" s="67" t="s">
        <v>530</v>
      </c>
      <c r="B470" s="231"/>
      <c r="C470" s="422"/>
      <c r="D470" s="422"/>
      <c r="E470" s="422"/>
      <c r="F470" s="422"/>
      <c r="G470" s="416"/>
      <c r="H470" s="417"/>
      <c r="I470" s="416"/>
      <c r="J470" s="418"/>
      <c r="K470" s="419"/>
      <c r="L470" s="420"/>
      <c r="M470" s="64"/>
      <c r="N470" s="77"/>
      <c r="O470" s="18"/>
      <c r="P470" s="22"/>
      <c r="Q470" s="22"/>
      <c r="R470" s="22"/>
    </row>
    <row r="471" spans="1:18" s="20" customFormat="1" ht="12.75" hidden="1" x14ac:dyDescent="0.2">
      <c r="A471" s="469" t="s">
        <v>119</v>
      </c>
      <c r="B471" s="422" t="s">
        <v>432</v>
      </c>
      <c r="C471" s="422">
        <v>0.27</v>
      </c>
      <c r="D471" s="422">
        <v>6</v>
      </c>
      <c r="E471" s="422">
        <f>ROUND(C471*D471,2)</f>
        <v>1.62</v>
      </c>
      <c r="F471" s="423"/>
      <c r="G471" s="416">
        <v>7314.22</v>
      </c>
      <c r="H471" s="417">
        <v>2.0764999999999998</v>
      </c>
      <c r="I471" s="416">
        <f>ROUND(G471*H471,2)</f>
        <v>15187.98</v>
      </c>
      <c r="J471" s="418">
        <f>ROUND(I471*E471,2)</f>
        <v>24604.53</v>
      </c>
      <c r="K471" s="419">
        <f>ROUND(J471*0.2,2)</f>
        <v>4920.91</v>
      </c>
      <c r="L471" s="420">
        <f>ROUND(J471+K471,2)</f>
        <v>29525.439999999999</v>
      </c>
      <c r="M471" s="136">
        <v>20911.57</v>
      </c>
      <c r="N471" s="77"/>
      <c r="O471" s="18"/>
      <c r="P471" s="22"/>
      <c r="Q471" s="22"/>
      <c r="R471" s="22"/>
    </row>
    <row r="472" spans="1:18" s="20" customFormat="1" ht="51" hidden="1" x14ac:dyDescent="0.2">
      <c r="A472" s="469" t="s">
        <v>120</v>
      </c>
      <c r="B472" s="422" t="s">
        <v>433</v>
      </c>
      <c r="C472" s="422">
        <v>195.3</v>
      </c>
      <c r="D472" s="422">
        <v>6</v>
      </c>
      <c r="E472" s="422">
        <f>ROUND(C472*D472,2)</f>
        <v>1171.8</v>
      </c>
      <c r="F472" s="423"/>
      <c r="G472" s="416">
        <v>1.99</v>
      </c>
      <c r="H472" s="417">
        <v>2.0764999999999998</v>
      </c>
      <c r="I472" s="416">
        <f>ROUND(G472*H472,2)</f>
        <v>4.13</v>
      </c>
      <c r="J472" s="418">
        <f>ROUND(I472*E472,2)</f>
        <v>4839.53</v>
      </c>
      <c r="K472" s="419">
        <f>ROUND(J472*0.2,2)</f>
        <v>967.91</v>
      </c>
      <c r="L472" s="420">
        <f>ROUND(J472+K472,2)</f>
        <v>5807.44</v>
      </c>
      <c r="M472" s="64"/>
      <c r="N472" s="77"/>
      <c r="O472" s="18"/>
      <c r="P472" s="22"/>
      <c r="Q472" s="22"/>
      <c r="R472" s="22"/>
    </row>
    <row r="473" spans="1:18" s="20" customFormat="1" ht="38.25" hidden="1" x14ac:dyDescent="0.2">
      <c r="A473" s="169" t="s">
        <v>442</v>
      </c>
      <c r="B473" s="426"/>
      <c r="C473" s="426"/>
      <c r="D473" s="426"/>
      <c r="E473" s="426"/>
      <c r="F473" s="426"/>
      <c r="G473" s="426"/>
      <c r="H473" s="417"/>
      <c r="I473" s="416"/>
      <c r="J473" s="418"/>
      <c r="K473" s="419"/>
      <c r="L473" s="420"/>
      <c r="M473" s="64"/>
      <c r="N473" s="77"/>
      <c r="O473" s="18"/>
      <c r="P473" s="22"/>
      <c r="Q473" s="22"/>
      <c r="R473" s="22"/>
    </row>
    <row r="474" spans="1:18" s="20" customFormat="1" ht="51" hidden="1" x14ac:dyDescent="0.2">
      <c r="A474" s="469" t="s">
        <v>144</v>
      </c>
      <c r="B474" s="422" t="s">
        <v>422</v>
      </c>
      <c r="C474" s="422">
        <v>3</v>
      </c>
      <c r="D474" s="422">
        <v>3</v>
      </c>
      <c r="E474" s="422">
        <f t="shared" ref="E474:E480" si="117">ROUND(C474*D474,2)</f>
        <v>9</v>
      </c>
      <c r="F474" s="422"/>
      <c r="G474" s="416">
        <v>964.56</v>
      </c>
      <c r="H474" s="417">
        <v>2.0764999999999998</v>
      </c>
      <c r="I474" s="416">
        <f t="shared" ref="I474:I480" si="118">ROUND(G474*H474,2)</f>
        <v>2002.91</v>
      </c>
      <c r="J474" s="418">
        <f t="shared" ref="J474:J480" si="119">ROUND(I474*E474,2)</f>
        <v>18026.189999999999</v>
      </c>
      <c r="K474" s="419">
        <f t="shared" ref="K474:K480" si="120">ROUND(J474*0.2,2)</f>
        <v>3605.24</v>
      </c>
      <c r="L474" s="420">
        <f t="shared" ref="L474:L480" si="121">ROUND(J474+K474,2)</f>
        <v>21631.43</v>
      </c>
      <c r="M474" s="64"/>
      <c r="N474" s="77"/>
      <c r="O474" s="18"/>
      <c r="P474" s="22"/>
      <c r="Q474" s="22"/>
      <c r="R474" s="22"/>
    </row>
    <row r="475" spans="1:18" s="20" customFormat="1" ht="25.5" hidden="1" x14ac:dyDescent="0.2">
      <c r="A475" s="470" t="s">
        <v>121</v>
      </c>
      <c r="B475" s="422" t="s">
        <v>422</v>
      </c>
      <c r="C475" s="422">
        <v>2</v>
      </c>
      <c r="D475" s="422">
        <v>6</v>
      </c>
      <c r="E475" s="422">
        <f t="shared" si="117"/>
        <v>12</v>
      </c>
      <c r="F475" s="422"/>
      <c r="G475" s="416">
        <v>130.31</v>
      </c>
      <c r="H475" s="417">
        <v>10.5305</v>
      </c>
      <c r="I475" s="416">
        <f t="shared" si="118"/>
        <v>1372.23</v>
      </c>
      <c r="J475" s="418">
        <f t="shared" si="119"/>
        <v>16466.759999999998</v>
      </c>
      <c r="K475" s="419">
        <f t="shared" si="120"/>
        <v>3293.35</v>
      </c>
      <c r="L475" s="420">
        <f t="shared" si="121"/>
        <v>19760.11</v>
      </c>
      <c r="M475" s="64"/>
      <c r="N475" s="77">
        <v>9155.9500000000007</v>
      </c>
      <c r="O475" s="18">
        <v>4573.5</v>
      </c>
      <c r="P475" s="22"/>
      <c r="Q475" s="22"/>
      <c r="R475" s="22"/>
    </row>
    <row r="476" spans="1:18" s="20" customFormat="1" ht="38.25" hidden="1" x14ac:dyDescent="0.2">
      <c r="A476" s="470" t="s">
        <v>423</v>
      </c>
      <c r="B476" s="422" t="s">
        <v>422</v>
      </c>
      <c r="C476" s="422">
        <v>2</v>
      </c>
      <c r="D476" s="422">
        <v>6</v>
      </c>
      <c r="E476" s="422">
        <f t="shared" si="117"/>
        <v>12</v>
      </c>
      <c r="F476" s="422"/>
      <c r="G476" s="416">
        <v>18.62</v>
      </c>
      <c r="H476" s="417">
        <v>10.5305</v>
      </c>
      <c r="I476" s="416">
        <f t="shared" si="118"/>
        <v>196.08</v>
      </c>
      <c r="J476" s="418">
        <f t="shared" si="119"/>
        <v>2352.96</v>
      </c>
      <c r="K476" s="419">
        <f t="shared" si="120"/>
        <v>470.59</v>
      </c>
      <c r="L476" s="420">
        <f t="shared" si="121"/>
        <v>2823.55</v>
      </c>
      <c r="M476" s="64"/>
      <c r="N476" s="77">
        <v>8953.6299999999992</v>
      </c>
      <c r="O476" s="18">
        <v>26971.200000000001</v>
      </c>
      <c r="P476" s="22"/>
      <c r="Q476" s="22"/>
      <c r="R476" s="22"/>
    </row>
    <row r="477" spans="1:18" s="20" customFormat="1" ht="51" hidden="1" x14ac:dyDescent="0.2">
      <c r="A477" s="470" t="s">
        <v>424</v>
      </c>
      <c r="B477" s="422" t="s">
        <v>422</v>
      </c>
      <c r="C477" s="422">
        <v>1</v>
      </c>
      <c r="D477" s="422">
        <v>2</v>
      </c>
      <c r="E477" s="422">
        <f t="shared" si="117"/>
        <v>2</v>
      </c>
      <c r="F477" s="422"/>
      <c r="G477" s="416">
        <v>161.86000000000001</v>
      </c>
      <c r="H477" s="417">
        <v>10.5305</v>
      </c>
      <c r="I477" s="416">
        <f t="shared" si="118"/>
        <v>1704.47</v>
      </c>
      <c r="J477" s="418">
        <f t="shared" si="119"/>
        <v>3408.94</v>
      </c>
      <c r="K477" s="419">
        <f t="shared" si="120"/>
        <v>681.79</v>
      </c>
      <c r="L477" s="420">
        <f t="shared" si="121"/>
        <v>4090.73</v>
      </c>
      <c r="M477" s="64"/>
      <c r="N477" s="77">
        <v>1279.3700000000001</v>
      </c>
      <c r="O477" s="18">
        <v>524.91999999999996</v>
      </c>
      <c r="P477" s="22"/>
      <c r="Q477" s="22"/>
      <c r="R477" s="22"/>
    </row>
    <row r="478" spans="1:18" s="20" customFormat="1" ht="38.25" hidden="1" x14ac:dyDescent="0.2">
      <c r="A478" s="470" t="s">
        <v>122</v>
      </c>
      <c r="B478" s="422" t="s">
        <v>422</v>
      </c>
      <c r="C478" s="422">
        <v>1</v>
      </c>
      <c r="D478" s="422">
        <v>2</v>
      </c>
      <c r="E478" s="422">
        <f t="shared" si="117"/>
        <v>2</v>
      </c>
      <c r="F478" s="422"/>
      <c r="G478" s="416">
        <v>501.73</v>
      </c>
      <c r="H478" s="417">
        <v>10.5305</v>
      </c>
      <c r="I478" s="416">
        <f t="shared" si="118"/>
        <v>5283.47</v>
      </c>
      <c r="J478" s="418">
        <f t="shared" si="119"/>
        <v>10566.94</v>
      </c>
      <c r="K478" s="419">
        <f t="shared" si="120"/>
        <v>2113.39</v>
      </c>
      <c r="L478" s="420">
        <f t="shared" si="121"/>
        <v>12680.33</v>
      </c>
      <c r="M478" s="64"/>
      <c r="N478" s="77">
        <v>1853.5800000000002</v>
      </c>
      <c r="O478" s="18">
        <v>1325.04</v>
      </c>
      <c r="P478" s="22"/>
      <c r="Q478" s="22"/>
      <c r="R478" s="22"/>
    </row>
    <row r="479" spans="1:18" s="20" customFormat="1" ht="51" hidden="1" x14ac:dyDescent="0.2">
      <c r="A479" s="470" t="s">
        <v>123</v>
      </c>
      <c r="B479" s="422" t="s">
        <v>422</v>
      </c>
      <c r="C479" s="422">
        <v>2</v>
      </c>
      <c r="D479" s="422">
        <v>6</v>
      </c>
      <c r="E479" s="422">
        <f t="shared" si="117"/>
        <v>12</v>
      </c>
      <c r="F479" s="422"/>
      <c r="G479" s="416">
        <v>135.63999999999999</v>
      </c>
      <c r="H479" s="417">
        <v>10.5305</v>
      </c>
      <c r="I479" s="416">
        <f t="shared" si="118"/>
        <v>1428.36</v>
      </c>
      <c r="J479" s="418">
        <f t="shared" si="119"/>
        <v>17140.32</v>
      </c>
      <c r="K479" s="419">
        <f t="shared" si="120"/>
        <v>3428.06</v>
      </c>
      <c r="L479" s="420">
        <f t="shared" si="121"/>
        <v>20568.38</v>
      </c>
      <c r="M479" s="64"/>
      <c r="N479" s="77">
        <v>5745.67</v>
      </c>
      <c r="O479" s="18">
        <v>9353.82</v>
      </c>
      <c r="P479" s="22"/>
      <c r="Q479" s="22"/>
      <c r="R479" s="22"/>
    </row>
    <row r="480" spans="1:18" s="20" customFormat="1" ht="38.25" hidden="1" x14ac:dyDescent="0.2">
      <c r="A480" s="469" t="s">
        <v>124</v>
      </c>
      <c r="B480" s="422" t="s">
        <v>91</v>
      </c>
      <c r="C480" s="422">
        <v>1415</v>
      </c>
      <c r="D480" s="422">
        <v>1</v>
      </c>
      <c r="E480" s="422">
        <f t="shared" si="117"/>
        <v>1415</v>
      </c>
      <c r="F480" s="422">
        <v>8.52</v>
      </c>
      <c r="G480" s="416">
        <f>F480/1.2</f>
        <v>7.1</v>
      </c>
      <c r="H480" s="417">
        <v>1.1898</v>
      </c>
      <c r="I480" s="416">
        <f t="shared" si="118"/>
        <v>8.4499999999999993</v>
      </c>
      <c r="J480" s="418">
        <f t="shared" si="119"/>
        <v>11956.75</v>
      </c>
      <c r="K480" s="419">
        <f t="shared" si="120"/>
        <v>2391.35</v>
      </c>
      <c r="L480" s="420">
        <f t="shared" si="121"/>
        <v>14348.1</v>
      </c>
      <c r="M480" s="144">
        <v>92813.099999999977</v>
      </c>
      <c r="N480" s="77">
        <v>9319.9</v>
      </c>
      <c r="O480" s="18">
        <v>9753.1200000000008</v>
      </c>
      <c r="P480" s="22"/>
      <c r="Q480" s="22"/>
      <c r="R480" s="22"/>
    </row>
    <row r="481" spans="1:18" s="20" customFormat="1" ht="127.5" hidden="1" x14ac:dyDescent="0.2">
      <c r="A481" s="473" t="s">
        <v>58</v>
      </c>
      <c r="B481" s="227"/>
      <c r="C481" s="227"/>
      <c r="D481" s="227"/>
      <c r="E481" s="227"/>
      <c r="F481" s="227"/>
      <c r="G481" s="244"/>
      <c r="H481" s="422"/>
      <c r="I481" s="416"/>
      <c r="J481" s="418"/>
      <c r="K481" s="419"/>
      <c r="L481" s="420"/>
      <c r="M481" s="64"/>
      <c r="N481" s="77">
        <v>4216.3899999999994</v>
      </c>
      <c r="O481" s="18">
        <v>28345.200000000001</v>
      </c>
      <c r="P481" s="22"/>
      <c r="Q481" s="22"/>
      <c r="R481" s="22"/>
    </row>
    <row r="482" spans="1:18" s="20" customFormat="1" ht="12.75" hidden="1" x14ac:dyDescent="0.2">
      <c r="A482" s="207" t="s">
        <v>441</v>
      </c>
      <c r="B482" s="422"/>
      <c r="C482" s="422"/>
      <c r="D482" s="422"/>
      <c r="E482" s="422"/>
      <c r="F482" s="422"/>
      <c r="G482" s="422"/>
      <c r="H482" s="422"/>
      <c r="I482" s="416"/>
      <c r="J482" s="418"/>
      <c r="K482" s="419"/>
      <c r="L482" s="420"/>
      <c r="M482" s="64"/>
      <c r="N482" s="77"/>
      <c r="O482" s="18"/>
      <c r="P482" s="22"/>
      <c r="Q482" s="22"/>
      <c r="R482" s="22"/>
    </row>
    <row r="483" spans="1:18" s="20" customFormat="1" ht="25.5" hidden="1" x14ac:dyDescent="0.2">
      <c r="A483" s="469" t="s">
        <v>116</v>
      </c>
      <c r="B483" s="422" t="s">
        <v>118</v>
      </c>
      <c r="C483" s="422">
        <v>1.827</v>
      </c>
      <c r="D483" s="422">
        <v>2</v>
      </c>
      <c r="E483" s="422">
        <f>ROUND(C483*D483,2)</f>
        <v>3.65</v>
      </c>
      <c r="F483" s="422"/>
      <c r="G483" s="416">
        <v>44.32</v>
      </c>
      <c r="H483" s="417">
        <v>2.0764999999999998</v>
      </c>
      <c r="I483" s="416">
        <f>ROUND(G483*H483,2)</f>
        <v>92.03</v>
      </c>
      <c r="J483" s="418">
        <f>ROUND(I483*E483,2)</f>
        <v>335.91</v>
      </c>
      <c r="K483" s="419">
        <f>ROUND(J483*0.2,2)</f>
        <v>67.180000000000007</v>
      </c>
      <c r="L483" s="420">
        <f>ROUND(J483+K483,2)</f>
        <v>403.09</v>
      </c>
      <c r="M483" s="64"/>
      <c r="N483" s="77"/>
      <c r="O483" s="18"/>
      <c r="P483" s="22"/>
      <c r="Q483" s="22"/>
      <c r="R483" s="22"/>
    </row>
    <row r="484" spans="1:18" s="20" customFormat="1" ht="25.5" hidden="1" x14ac:dyDescent="0.2">
      <c r="A484" s="469" t="s">
        <v>117</v>
      </c>
      <c r="B484" s="422" t="s">
        <v>432</v>
      </c>
      <c r="C484" s="422">
        <v>0.317</v>
      </c>
      <c r="D484" s="422">
        <v>3</v>
      </c>
      <c r="E484" s="422">
        <f>ROUND(C484*D484,2)</f>
        <v>0.95</v>
      </c>
      <c r="F484" s="422"/>
      <c r="G484" s="416">
        <v>4728.2</v>
      </c>
      <c r="H484" s="417">
        <v>2.0764999999999998</v>
      </c>
      <c r="I484" s="416">
        <f>ROUND(G484*H484,2)</f>
        <v>9818.11</v>
      </c>
      <c r="J484" s="418">
        <f>ROUND(I484*E484,2)</f>
        <v>9327.2000000000007</v>
      </c>
      <c r="K484" s="419">
        <f>ROUND(J484*0.2,2)</f>
        <v>1865.44</v>
      </c>
      <c r="L484" s="420">
        <f>ROUND(J484+K484,2)</f>
        <v>11192.64</v>
      </c>
      <c r="M484" s="64"/>
      <c r="N484" s="77">
        <v>259.25</v>
      </c>
      <c r="O484" s="18">
        <v>259</v>
      </c>
      <c r="P484" s="22"/>
      <c r="Q484" s="22"/>
      <c r="R484" s="22"/>
    </row>
    <row r="485" spans="1:18" s="20" customFormat="1" ht="51" hidden="1" x14ac:dyDescent="0.2">
      <c r="A485" s="470" t="s">
        <v>493</v>
      </c>
      <c r="B485" s="422" t="s">
        <v>433</v>
      </c>
      <c r="C485" s="422">
        <v>183</v>
      </c>
      <c r="D485" s="422">
        <v>1</v>
      </c>
      <c r="E485" s="422">
        <f>ROUND(C485*D485,2)</f>
        <v>183</v>
      </c>
      <c r="F485" s="422"/>
      <c r="G485" s="416">
        <v>83.24</v>
      </c>
      <c r="H485" s="417">
        <v>2.0764999999999998</v>
      </c>
      <c r="I485" s="416">
        <f>ROUND(G485*H485,2)</f>
        <v>172.85</v>
      </c>
      <c r="J485" s="418">
        <f>ROUND(I485*E485,2)</f>
        <v>31631.55</v>
      </c>
      <c r="K485" s="419">
        <f>ROUND(J485*0.2,2)</f>
        <v>6326.31</v>
      </c>
      <c r="L485" s="420">
        <f>ROUND(J485+K485,2)</f>
        <v>37957.86</v>
      </c>
      <c r="M485" s="64"/>
      <c r="N485" s="77">
        <v>7199.1100000000006</v>
      </c>
      <c r="O485" s="18">
        <v>14384.18</v>
      </c>
      <c r="P485" s="22"/>
      <c r="Q485" s="22"/>
      <c r="R485" s="22"/>
    </row>
    <row r="486" spans="1:18" s="20" customFormat="1" ht="51" hidden="1" x14ac:dyDescent="0.2">
      <c r="A486" s="476" t="s">
        <v>471</v>
      </c>
      <c r="B486" s="422" t="s">
        <v>433</v>
      </c>
      <c r="C486" s="422">
        <v>183</v>
      </c>
      <c r="D486" s="422">
        <v>2</v>
      </c>
      <c r="E486" s="422">
        <f>ROUND(C486*D486,2)</f>
        <v>366</v>
      </c>
      <c r="F486" s="422"/>
      <c r="G486" s="416">
        <v>2.89</v>
      </c>
      <c r="H486" s="417">
        <v>2.0764999999999998</v>
      </c>
      <c r="I486" s="416">
        <f>ROUND(G486*H486,2)</f>
        <v>6</v>
      </c>
      <c r="J486" s="418">
        <f>ROUND(I486*E486,2)</f>
        <v>2196</v>
      </c>
      <c r="K486" s="419">
        <f>ROUND(J486*0.2,2)</f>
        <v>439.2</v>
      </c>
      <c r="L486" s="420">
        <f>ROUND(J486+K486,2)</f>
        <v>2635.2</v>
      </c>
      <c r="M486" s="134">
        <v>46324.35</v>
      </c>
      <c r="N486" s="77"/>
      <c r="O486" s="18"/>
      <c r="P486" s="22"/>
      <c r="Q486" s="22"/>
      <c r="R486" s="22"/>
    </row>
    <row r="487" spans="1:18" s="20" customFormat="1" ht="12.75" hidden="1" x14ac:dyDescent="0.2">
      <c r="A487" s="67" t="s">
        <v>530</v>
      </c>
      <c r="B487" s="231"/>
      <c r="C487" s="422"/>
      <c r="D487" s="422"/>
      <c r="E487" s="422"/>
      <c r="F487" s="422"/>
      <c r="G487" s="416"/>
      <c r="H487" s="417"/>
      <c r="I487" s="416"/>
      <c r="J487" s="418"/>
      <c r="K487" s="419"/>
      <c r="L487" s="420"/>
      <c r="M487" s="64"/>
      <c r="N487" s="77"/>
      <c r="O487" s="18"/>
      <c r="P487" s="22"/>
      <c r="Q487" s="22"/>
      <c r="R487" s="22"/>
    </row>
    <row r="488" spans="1:18" s="20" customFormat="1" ht="12.75" hidden="1" x14ac:dyDescent="0.2">
      <c r="A488" s="469" t="s">
        <v>119</v>
      </c>
      <c r="B488" s="422" t="s">
        <v>432</v>
      </c>
      <c r="C488" s="422">
        <v>0.317</v>
      </c>
      <c r="D488" s="422">
        <v>6</v>
      </c>
      <c r="E488" s="422">
        <f>ROUND(C488*D488,2)</f>
        <v>1.9</v>
      </c>
      <c r="F488" s="422"/>
      <c r="G488" s="416">
        <v>7314.22</v>
      </c>
      <c r="H488" s="417">
        <v>2.0764999999999998</v>
      </c>
      <c r="I488" s="416">
        <f>ROUND(G488*H488,2)</f>
        <v>15187.98</v>
      </c>
      <c r="J488" s="418">
        <f>ROUND(I488*E488,2)</f>
        <v>28857.16</v>
      </c>
      <c r="K488" s="419">
        <f>ROUND(J488*0.2,2)</f>
        <v>5771.43</v>
      </c>
      <c r="L488" s="420">
        <f>ROUND(J488+K488,2)</f>
        <v>34628.589999999997</v>
      </c>
      <c r="M488" s="136">
        <v>23763.25</v>
      </c>
      <c r="N488" s="77"/>
      <c r="O488" s="18"/>
      <c r="P488" s="22"/>
      <c r="Q488" s="22"/>
      <c r="R488" s="22"/>
    </row>
    <row r="489" spans="1:18" s="20" customFormat="1" ht="51" hidden="1" x14ac:dyDescent="0.2">
      <c r="A489" s="469" t="s">
        <v>120</v>
      </c>
      <c r="B489" s="422" t="s">
        <v>433</v>
      </c>
      <c r="C489" s="422">
        <v>182.7</v>
      </c>
      <c r="D489" s="422">
        <v>6</v>
      </c>
      <c r="E489" s="422">
        <f>ROUND(C489*D489,2)</f>
        <v>1096.2</v>
      </c>
      <c r="F489" s="422"/>
      <c r="G489" s="416">
        <v>1.99</v>
      </c>
      <c r="H489" s="417">
        <v>2.0764999999999998</v>
      </c>
      <c r="I489" s="416">
        <f>ROUND(G489*H489,2)</f>
        <v>4.13</v>
      </c>
      <c r="J489" s="418">
        <f>ROUND(I489*E489,2)</f>
        <v>4527.3100000000004</v>
      </c>
      <c r="K489" s="419">
        <f>ROUND(J489*0.2,2)</f>
        <v>905.46</v>
      </c>
      <c r="L489" s="420">
        <f>ROUND(J489+K489,2)</f>
        <v>5432.77</v>
      </c>
      <c r="M489" s="64"/>
      <c r="N489" s="77"/>
      <c r="O489" s="18"/>
      <c r="P489" s="22"/>
      <c r="Q489" s="22"/>
      <c r="R489" s="22"/>
    </row>
    <row r="490" spans="1:18" s="20" customFormat="1" ht="38.25" hidden="1" x14ac:dyDescent="0.2">
      <c r="A490" s="207" t="s">
        <v>442</v>
      </c>
      <c r="B490" s="422"/>
      <c r="C490" s="422"/>
      <c r="D490" s="422"/>
      <c r="E490" s="422"/>
      <c r="F490" s="422"/>
      <c r="G490" s="422"/>
      <c r="H490" s="417"/>
      <c r="I490" s="416"/>
      <c r="J490" s="418"/>
      <c r="K490" s="419"/>
      <c r="L490" s="420"/>
      <c r="M490" s="64"/>
      <c r="N490" s="77"/>
      <c r="O490" s="18"/>
      <c r="P490" s="22"/>
      <c r="Q490" s="22"/>
      <c r="R490" s="22"/>
    </row>
    <row r="491" spans="1:18" s="20" customFormat="1" ht="51" hidden="1" x14ac:dyDescent="0.2">
      <c r="A491" s="469" t="s">
        <v>144</v>
      </c>
      <c r="B491" s="422" t="s">
        <v>422</v>
      </c>
      <c r="C491" s="422">
        <v>3</v>
      </c>
      <c r="D491" s="422">
        <v>3</v>
      </c>
      <c r="E491" s="422">
        <f t="shared" ref="E491:E497" si="122">ROUND(C491*D491,2)</f>
        <v>9</v>
      </c>
      <c r="F491" s="422"/>
      <c r="G491" s="416">
        <v>964.56</v>
      </c>
      <c r="H491" s="417">
        <v>2.0764999999999998</v>
      </c>
      <c r="I491" s="416">
        <f t="shared" ref="I491:I497" si="123">ROUND(G491*H491,2)</f>
        <v>2002.91</v>
      </c>
      <c r="J491" s="418">
        <f t="shared" ref="J491:J497" si="124">ROUND(I491*E491,2)</f>
        <v>18026.189999999999</v>
      </c>
      <c r="K491" s="419">
        <f t="shared" ref="K491:K497" si="125">ROUND(J491*0.2,2)</f>
        <v>3605.24</v>
      </c>
      <c r="L491" s="420">
        <f t="shared" ref="L491:L554" si="126">ROUND(J491+K491,2)</f>
        <v>21631.43</v>
      </c>
      <c r="M491" s="64"/>
      <c r="N491" s="77">
        <v>0</v>
      </c>
      <c r="O491" s="18"/>
      <c r="P491" s="22"/>
      <c r="Q491" s="22"/>
      <c r="R491" s="22"/>
    </row>
    <row r="492" spans="1:18" s="20" customFormat="1" ht="25.5" hidden="1" x14ac:dyDescent="0.2">
      <c r="A492" s="470" t="s">
        <v>121</v>
      </c>
      <c r="B492" s="422" t="s">
        <v>422</v>
      </c>
      <c r="C492" s="422">
        <v>2</v>
      </c>
      <c r="D492" s="422">
        <v>6</v>
      </c>
      <c r="E492" s="422">
        <f t="shared" si="122"/>
        <v>12</v>
      </c>
      <c r="F492" s="422"/>
      <c r="G492" s="416">
        <v>130.31</v>
      </c>
      <c r="H492" s="417">
        <v>10.5305</v>
      </c>
      <c r="I492" s="416">
        <f t="shared" si="123"/>
        <v>1372.23</v>
      </c>
      <c r="J492" s="418">
        <f t="shared" si="124"/>
        <v>16466.759999999998</v>
      </c>
      <c r="K492" s="419">
        <f t="shared" si="125"/>
        <v>3293.35</v>
      </c>
      <c r="L492" s="420">
        <f t="shared" si="126"/>
        <v>19760.11</v>
      </c>
      <c r="M492" s="64"/>
      <c r="N492" s="77">
        <v>9155.9500000000007</v>
      </c>
      <c r="O492" s="18">
        <v>4573.5</v>
      </c>
      <c r="P492" s="22"/>
      <c r="Q492" s="22"/>
      <c r="R492" s="22"/>
    </row>
    <row r="493" spans="1:18" s="20" customFormat="1" ht="38.25" hidden="1" x14ac:dyDescent="0.2">
      <c r="A493" s="470" t="s">
        <v>423</v>
      </c>
      <c r="B493" s="422" t="s">
        <v>422</v>
      </c>
      <c r="C493" s="422">
        <v>2</v>
      </c>
      <c r="D493" s="422">
        <v>6</v>
      </c>
      <c r="E493" s="422">
        <f t="shared" si="122"/>
        <v>12</v>
      </c>
      <c r="F493" s="422"/>
      <c r="G493" s="416">
        <v>18.62</v>
      </c>
      <c r="H493" s="417">
        <v>10.5305</v>
      </c>
      <c r="I493" s="416">
        <f t="shared" si="123"/>
        <v>196.08</v>
      </c>
      <c r="J493" s="418">
        <f t="shared" si="124"/>
        <v>2352.96</v>
      </c>
      <c r="K493" s="419">
        <f t="shared" si="125"/>
        <v>470.59</v>
      </c>
      <c r="L493" s="420">
        <f t="shared" si="126"/>
        <v>2823.55</v>
      </c>
      <c r="M493" s="64"/>
      <c r="N493" s="77">
        <v>8953.6299999999992</v>
      </c>
      <c r="O493" s="18">
        <v>26971.200000000001</v>
      </c>
      <c r="P493" s="22"/>
      <c r="Q493" s="22"/>
      <c r="R493" s="22"/>
    </row>
    <row r="494" spans="1:18" s="20" customFormat="1" ht="51" hidden="1" x14ac:dyDescent="0.2">
      <c r="A494" s="470" t="s">
        <v>424</v>
      </c>
      <c r="B494" s="422" t="s">
        <v>422</v>
      </c>
      <c r="C494" s="422">
        <v>1</v>
      </c>
      <c r="D494" s="422">
        <v>2</v>
      </c>
      <c r="E494" s="422">
        <f t="shared" si="122"/>
        <v>2</v>
      </c>
      <c r="F494" s="422"/>
      <c r="G494" s="416">
        <v>161.86000000000001</v>
      </c>
      <c r="H494" s="417">
        <v>10.5305</v>
      </c>
      <c r="I494" s="416">
        <f t="shared" si="123"/>
        <v>1704.47</v>
      </c>
      <c r="J494" s="418">
        <f t="shared" si="124"/>
        <v>3408.94</v>
      </c>
      <c r="K494" s="419">
        <f t="shared" si="125"/>
        <v>681.79</v>
      </c>
      <c r="L494" s="420">
        <f t="shared" si="126"/>
        <v>4090.73</v>
      </c>
      <c r="M494" s="64"/>
      <c r="N494" s="77">
        <v>1279.3700000000001</v>
      </c>
      <c r="O494" s="18">
        <v>524.91999999999996</v>
      </c>
      <c r="P494" s="22"/>
      <c r="Q494" s="22"/>
      <c r="R494" s="22"/>
    </row>
    <row r="495" spans="1:18" s="20" customFormat="1" ht="38.25" hidden="1" x14ac:dyDescent="0.2">
      <c r="A495" s="470" t="s">
        <v>122</v>
      </c>
      <c r="B495" s="422" t="s">
        <v>422</v>
      </c>
      <c r="C495" s="422">
        <v>1</v>
      </c>
      <c r="D495" s="422">
        <v>2</v>
      </c>
      <c r="E495" s="422">
        <f t="shared" si="122"/>
        <v>2</v>
      </c>
      <c r="F495" s="422"/>
      <c r="G495" s="416">
        <v>501.73</v>
      </c>
      <c r="H495" s="417">
        <v>10.5305</v>
      </c>
      <c r="I495" s="416">
        <f t="shared" si="123"/>
        <v>5283.47</v>
      </c>
      <c r="J495" s="418">
        <f t="shared" si="124"/>
        <v>10566.94</v>
      </c>
      <c r="K495" s="419">
        <f t="shared" si="125"/>
        <v>2113.39</v>
      </c>
      <c r="L495" s="420">
        <f t="shared" si="126"/>
        <v>12680.33</v>
      </c>
      <c r="M495" s="64"/>
      <c r="N495" s="77">
        <v>1853.5800000000002</v>
      </c>
      <c r="O495" s="18">
        <v>1325.04</v>
      </c>
      <c r="P495" s="22"/>
      <c r="Q495" s="22"/>
      <c r="R495" s="22"/>
    </row>
    <row r="496" spans="1:18" s="20" customFormat="1" ht="51" hidden="1" x14ac:dyDescent="0.2">
      <c r="A496" s="470" t="s">
        <v>123</v>
      </c>
      <c r="B496" s="422" t="s">
        <v>422</v>
      </c>
      <c r="C496" s="422">
        <v>2</v>
      </c>
      <c r="D496" s="422">
        <v>6</v>
      </c>
      <c r="E496" s="422">
        <f t="shared" si="122"/>
        <v>12</v>
      </c>
      <c r="F496" s="422"/>
      <c r="G496" s="416">
        <v>135.63999999999999</v>
      </c>
      <c r="H496" s="417">
        <v>10.5305</v>
      </c>
      <c r="I496" s="416">
        <f t="shared" si="123"/>
        <v>1428.36</v>
      </c>
      <c r="J496" s="418">
        <f t="shared" si="124"/>
        <v>17140.32</v>
      </c>
      <c r="K496" s="419">
        <f t="shared" si="125"/>
        <v>3428.06</v>
      </c>
      <c r="L496" s="420">
        <f t="shared" si="126"/>
        <v>20568.38</v>
      </c>
      <c r="M496" s="64"/>
      <c r="N496" s="77">
        <v>5745.67</v>
      </c>
      <c r="O496" s="18">
        <v>9353.82</v>
      </c>
      <c r="P496" s="22"/>
      <c r="Q496" s="22"/>
      <c r="R496" s="22"/>
    </row>
    <row r="497" spans="1:18" s="20" customFormat="1" ht="38.25" hidden="1" x14ac:dyDescent="0.2">
      <c r="A497" s="469" t="s">
        <v>124</v>
      </c>
      <c r="B497" s="422" t="s">
        <v>91</v>
      </c>
      <c r="C497" s="422">
        <v>1415</v>
      </c>
      <c r="D497" s="422">
        <v>1</v>
      </c>
      <c r="E497" s="422">
        <f t="shared" si="122"/>
        <v>1415</v>
      </c>
      <c r="F497" s="422">
        <v>8.52</v>
      </c>
      <c r="G497" s="416">
        <f>F497/1.2</f>
        <v>7.1</v>
      </c>
      <c r="H497" s="417">
        <v>1.1898</v>
      </c>
      <c r="I497" s="416">
        <f t="shared" si="123"/>
        <v>8.4499999999999993</v>
      </c>
      <c r="J497" s="418">
        <f t="shared" si="124"/>
        <v>11956.75</v>
      </c>
      <c r="K497" s="419">
        <f t="shared" si="125"/>
        <v>2391.35</v>
      </c>
      <c r="L497" s="420">
        <f t="shared" si="126"/>
        <v>14348.1</v>
      </c>
      <c r="M497" s="144">
        <v>92813.099999999977</v>
      </c>
      <c r="N497" s="77">
        <v>6213.26</v>
      </c>
      <c r="O497" s="18">
        <v>9753.1200000000008</v>
      </c>
      <c r="P497" s="22"/>
      <c r="Q497" s="22"/>
      <c r="R497" s="22"/>
    </row>
    <row r="498" spans="1:18" s="20" customFormat="1" ht="63.75" hidden="1" x14ac:dyDescent="0.2">
      <c r="A498" s="176" t="s">
        <v>59</v>
      </c>
      <c r="B498" s="243"/>
      <c r="C498" s="243"/>
      <c r="D498" s="243"/>
      <c r="E498" s="243"/>
      <c r="F498" s="422"/>
      <c r="G498" s="422"/>
      <c r="H498" s="422"/>
      <c r="I498" s="416"/>
      <c r="J498" s="418"/>
      <c r="K498" s="419"/>
      <c r="L498" s="420"/>
      <c r="M498" s="64"/>
      <c r="N498" s="77">
        <v>4216.3899999999994</v>
      </c>
      <c r="O498" s="18">
        <v>28345.200000000001</v>
      </c>
      <c r="P498" s="22"/>
      <c r="Q498" s="22"/>
      <c r="R498" s="22"/>
    </row>
    <row r="499" spans="1:18" s="20" customFormat="1" ht="12.75" hidden="1" x14ac:dyDescent="0.2">
      <c r="A499" s="176" t="s">
        <v>445</v>
      </c>
      <c r="B499" s="422"/>
      <c r="C499" s="422"/>
      <c r="D499" s="422"/>
      <c r="E499" s="422"/>
      <c r="F499" s="422"/>
      <c r="G499" s="422"/>
      <c r="H499" s="422"/>
      <c r="I499" s="416"/>
      <c r="J499" s="418"/>
      <c r="K499" s="419"/>
      <c r="L499" s="420"/>
      <c r="M499" s="64"/>
      <c r="N499" s="77"/>
      <c r="O499" s="18"/>
      <c r="P499" s="22"/>
      <c r="Q499" s="22"/>
      <c r="R499" s="22"/>
    </row>
    <row r="500" spans="1:18" s="20" customFormat="1" ht="25.5" hidden="1" x14ac:dyDescent="0.2">
      <c r="A500" s="469" t="s">
        <v>116</v>
      </c>
      <c r="B500" s="422" t="s">
        <v>118</v>
      </c>
      <c r="C500" s="422">
        <v>1.806</v>
      </c>
      <c r="D500" s="422">
        <v>2</v>
      </c>
      <c r="E500" s="422">
        <f>ROUND(C500*D500,2)</f>
        <v>3.61</v>
      </c>
      <c r="F500" s="422"/>
      <c r="G500" s="416">
        <v>44.32</v>
      </c>
      <c r="H500" s="417">
        <v>2.0764999999999998</v>
      </c>
      <c r="I500" s="416">
        <f t="shared" ref="I500:I568" si="127">ROUND(G500*H500,2)</f>
        <v>92.03</v>
      </c>
      <c r="J500" s="418">
        <f t="shared" ref="J500:J513" si="128">ROUND(I500*E500,2)</f>
        <v>332.23</v>
      </c>
      <c r="K500" s="419">
        <f t="shared" ref="K500:K568" si="129">ROUND(J500*0.2,2)</f>
        <v>66.45</v>
      </c>
      <c r="L500" s="420">
        <f t="shared" si="126"/>
        <v>398.68</v>
      </c>
      <c r="M500" s="64"/>
      <c r="N500" s="77"/>
      <c r="O500" s="18"/>
      <c r="P500" s="22"/>
      <c r="Q500" s="22"/>
      <c r="R500" s="22"/>
    </row>
    <row r="501" spans="1:18" s="20" customFormat="1" ht="25.5" hidden="1" x14ac:dyDescent="0.2">
      <c r="A501" s="469" t="s">
        <v>117</v>
      </c>
      <c r="B501" s="422" t="s">
        <v>432</v>
      </c>
      <c r="C501" s="422">
        <v>0.17899999999999999</v>
      </c>
      <c r="D501" s="422">
        <v>3</v>
      </c>
      <c r="E501" s="422">
        <f>ROUND(C501*D501,2)</f>
        <v>0.54</v>
      </c>
      <c r="F501" s="422"/>
      <c r="G501" s="416">
        <v>4728.2</v>
      </c>
      <c r="H501" s="417">
        <v>2.0764999999999998</v>
      </c>
      <c r="I501" s="416">
        <f t="shared" si="127"/>
        <v>9818.11</v>
      </c>
      <c r="J501" s="418">
        <f t="shared" si="128"/>
        <v>5301.78</v>
      </c>
      <c r="K501" s="419">
        <f t="shared" si="129"/>
        <v>1060.3599999999999</v>
      </c>
      <c r="L501" s="420">
        <f t="shared" si="126"/>
        <v>6362.14</v>
      </c>
      <c r="M501" s="64"/>
      <c r="N501" s="77">
        <v>256.42</v>
      </c>
      <c r="O501" s="18">
        <v>256.17</v>
      </c>
      <c r="P501" s="22"/>
      <c r="Q501" s="22"/>
      <c r="R501" s="22"/>
    </row>
    <row r="502" spans="1:18" s="20" customFormat="1" ht="51" hidden="1" x14ac:dyDescent="0.2">
      <c r="A502" s="470" t="s">
        <v>493</v>
      </c>
      <c r="B502" s="422" t="s">
        <v>433</v>
      </c>
      <c r="C502" s="422">
        <v>181</v>
      </c>
      <c r="D502" s="422">
        <v>1</v>
      </c>
      <c r="E502" s="422">
        <f>ROUND(C502*D502,2)</f>
        <v>181</v>
      </c>
      <c r="F502" s="422"/>
      <c r="G502" s="416">
        <v>83.24</v>
      </c>
      <c r="H502" s="417">
        <v>2.0764999999999998</v>
      </c>
      <c r="I502" s="416">
        <f>ROUND(G502*H502,2)</f>
        <v>172.85</v>
      </c>
      <c r="J502" s="418">
        <f>ROUND(I502*E502,2)</f>
        <v>31285.85</v>
      </c>
      <c r="K502" s="419">
        <f>ROUND(J502*0.2,2)</f>
        <v>6257.17</v>
      </c>
      <c r="L502" s="420">
        <f>ROUND(J502+K502,2)</f>
        <v>37543.019999999997</v>
      </c>
      <c r="M502" s="64"/>
      <c r="N502" s="77">
        <v>4092.13</v>
      </c>
      <c r="O502" s="18">
        <v>8100.56</v>
      </c>
      <c r="P502" s="22"/>
      <c r="Q502" s="22"/>
      <c r="R502" s="22"/>
    </row>
    <row r="503" spans="1:18" s="20" customFormat="1" ht="51" hidden="1" x14ac:dyDescent="0.2">
      <c r="A503" s="476" t="s">
        <v>471</v>
      </c>
      <c r="B503" s="422" t="s">
        <v>433</v>
      </c>
      <c r="C503" s="422">
        <v>181</v>
      </c>
      <c r="D503" s="422">
        <v>2</v>
      </c>
      <c r="E503" s="422">
        <f>ROUND(C503*D503,2)</f>
        <v>362</v>
      </c>
      <c r="F503" s="422"/>
      <c r="G503" s="416">
        <v>2.89</v>
      </c>
      <c r="H503" s="417">
        <v>2.0764999999999998</v>
      </c>
      <c r="I503" s="416">
        <f>ROUND(G503*H503,2)</f>
        <v>6</v>
      </c>
      <c r="J503" s="418">
        <f>ROUND(I503*E503,2)</f>
        <v>2172</v>
      </c>
      <c r="K503" s="419">
        <f>ROUND(J503*0.2,2)</f>
        <v>434.4</v>
      </c>
      <c r="L503" s="420">
        <f>ROUND(J503+K503,2)</f>
        <v>2606.4</v>
      </c>
      <c r="M503" s="134">
        <v>41639.079999999994</v>
      </c>
      <c r="N503" s="77"/>
      <c r="O503" s="18"/>
      <c r="P503" s="22"/>
      <c r="Q503" s="22"/>
      <c r="R503" s="22"/>
    </row>
    <row r="504" spans="1:18" s="20" customFormat="1" ht="12.75" hidden="1" x14ac:dyDescent="0.2">
      <c r="A504" s="67" t="s">
        <v>12</v>
      </c>
      <c r="B504" s="231"/>
      <c r="C504" s="422"/>
      <c r="D504" s="422"/>
      <c r="E504" s="422"/>
      <c r="F504" s="422"/>
      <c r="G504" s="416"/>
      <c r="H504" s="417">
        <v>2.0764999999999998</v>
      </c>
      <c r="I504" s="416"/>
      <c r="J504" s="418"/>
      <c r="K504" s="419"/>
      <c r="L504" s="420"/>
      <c r="M504" s="64"/>
      <c r="N504" s="77"/>
      <c r="O504" s="18"/>
      <c r="P504" s="22"/>
      <c r="Q504" s="22"/>
      <c r="R504" s="22"/>
    </row>
    <row r="505" spans="1:18" s="20" customFormat="1" ht="12.75" hidden="1" x14ac:dyDescent="0.2">
      <c r="A505" s="469" t="s">
        <v>119</v>
      </c>
      <c r="B505" s="422" t="s">
        <v>432</v>
      </c>
      <c r="C505" s="422">
        <v>0.17899999999999999</v>
      </c>
      <c r="D505" s="422">
        <v>6</v>
      </c>
      <c r="E505" s="422">
        <f>ROUND(C505*D505,2)</f>
        <v>1.07</v>
      </c>
      <c r="F505" s="423"/>
      <c r="G505" s="416">
        <v>7314.22</v>
      </c>
      <c r="H505" s="417">
        <v>2.0764999999999998</v>
      </c>
      <c r="I505" s="416">
        <f>ROUND(G505*H505,2)</f>
        <v>15187.98</v>
      </c>
      <c r="J505" s="418">
        <f>ROUND(I505*E505,2)</f>
        <v>16251.14</v>
      </c>
      <c r="K505" s="419">
        <f>ROUND(J505*0.2,2)</f>
        <v>3250.23</v>
      </c>
      <c r="L505" s="420">
        <f>ROUND(J505+K505,2)</f>
        <v>19501.37</v>
      </c>
      <c r="M505" s="64"/>
      <c r="N505" s="77"/>
      <c r="O505" s="18"/>
      <c r="P505" s="22"/>
      <c r="Q505" s="22"/>
      <c r="R505" s="22"/>
    </row>
    <row r="506" spans="1:18" s="20" customFormat="1" ht="51" hidden="1" x14ac:dyDescent="0.2">
      <c r="A506" s="469" t="s">
        <v>120</v>
      </c>
      <c r="B506" s="422" t="s">
        <v>433</v>
      </c>
      <c r="C506" s="422">
        <v>186</v>
      </c>
      <c r="D506" s="422">
        <v>6</v>
      </c>
      <c r="E506" s="422">
        <f>ROUND(C506*D506,2)</f>
        <v>1116</v>
      </c>
      <c r="F506" s="423"/>
      <c r="G506" s="416">
        <v>1.99</v>
      </c>
      <c r="H506" s="417">
        <v>2.0764999999999998</v>
      </c>
      <c r="I506" s="416">
        <f>ROUND(G506*H506,2)</f>
        <v>4.13</v>
      </c>
      <c r="J506" s="418">
        <f>ROUND(I506*E506,2)</f>
        <v>4609.08</v>
      </c>
      <c r="K506" s="419">
        <f>ROUND(J506*0.2,2)</f>
        <v>921.82</v>
      </c>
      <c r="L506" s="420">
        <f>ROUND(J506+K506,2)</f>
        <v>5530.9</v>
      </c>
      <c r="M506" s="145">
        <v>14924.02</v>
      </c>
      <c r="N506" s="77"/>
      <c r="O506" s="18"/>
      <c r="P506" s="22"/>
      <c r="Q506" s="22"/>
      <c r="R506" s="22"/>
    </row>
    <row r="507" spans="1:18" s="20" customFormat="1" ht="38.25" hidden="1" x14ac:dyDescent="0.2">
      <c r="A507" s="176" t="s">
        <v>442</v>
      </c>
      <c r="B507" s="422"/>
      <c r="C507" s="422"/>
      <c r="D507" s="422"/>
      <c r="E507" s="422"/>
      <c r="F507" s="422"/>
      <c r="G507" s="416"/>
      <c r="H507" s="417"/>
      <c r="I507" s="416"/>
      <c r="J507" s="418"/>
      <c r="K507" s="419"/>
      <c r="L507" s="420"/>
      <c r="M507" s="64"/>
      <c r="N507" s="77"/>
      <c r="O507" s="18"/>
      <c r="P507" s="22"/>
      <c r="Q507" s="22"/>
      <c r="R507" s="22"/>
    </row>
    <row r="508" spans="1:18" s="20" customFormat="1" ht="51" hidden="1" x14ac:dyDescent="0.2">
      <c r="A508" s="469" t="s">
        <v>144</v>
      </c>
      <c r="B508" s="422" t="s">
        <v>422</v>
      </c>
      <c r="C508" s="422">
        <v>3</v>
      </c>
      <c r="D508" s="422">
        <v>3</v>
      </c>
      <c r="E508" s="422">
        <f t="shared" ref="E508:E513" si="130">ROUND(C508*D508,2)</f>
        <v>9</v>
      </c>
      <c r="F508" s="422"/>
      <c r="G508" s="416">
        <v>964.56</v>
      </c>
      <c r="H508" s="417">
        <v>2.0764999999999998</v>
      </c>
      <c r="I508" s="416">
        <f t="shared" si="127"/>
        <v>2002.91</v>
      </c>
      <c r="J508" s="418">
        <f t="shared" si="128"/>
        <v>18026.189999999999</v>
      </c>
      <c r="K508" s="419">
        <f t="shared" si="129"/>
        <v>3605.24</v>
      </c>
      <c r="L508" s="420">
        <f t="shared" si="126"/>
        <v>21631.43</v>
      </c>
      <c r="M508" s="64"/>
      <c r="N508" s="77"/>
      <c r="O508" s="18"/>
      <c r="P508" s="22"/>
      <c r="Q508" s="22"/>
      <c r="R508" s="22"/>
    </row>
    <row r="509" spans="1:18" s="20" customFormat="1" ht="25.5" hidden="1" x14ac:dyDescent="0.2">
      <c r="A509" s="470" t="s">
        <v>121</v>
      </c>
      <c r="B509" s="422" t="s">
        <v>422</v>
      </c>
      <c r="C509" s="422">
        <v>2</v>
      </c>
      <c r="D509" s="422">
        <v>6</v>
      </c>
      <c r="E509" s="422">
        <f t="shared" si="130"/>
        <v>12</v>
      </c>
      <c r="F509" s="422"/>
      <c r="G509" s="416">
        <v>130.31</v>
      </c>
      <c r="H509" s="417">
        <v>10.5305</v>
      </c>
      <c r="I509" s="416">
        <f t="shared" si="127"/>
        <v>1372.23</v>
      </c>
      <c r="J509" s="418">
        <f t="shared" si="128"/>
        <v>16466.759999999998</v>
      </c>
      <c r="K509" s="419">
        <f t="shared" si="129"/>
        <v>3293.35</v>
      </c>
      <c r="L509" s="420">
        <f t="shared" si="126"/>
        <v>19760.11</v>
      </c>
      <c r="M509" s="64"/>
      <c r="N509" s="77">
        <v>9155.9500000000007</v>
      </c>
      <c r="O509" s="18">
        <v>4573.5</v>
      </c>
      <c r="P509" s="22"/>
      <c r="Q509" s="22"/>
      <c r="R509" s="22"/>
    </row>
    <row r="510" spans="1:18" s="20" customFormat="1" ht="38.25" hidden="1" x14ac:dyDescent="0.2">
      <c r="A510" s="470" t="s">
        <v>423</v>
      </c>
      <c r="B510" s="422" t="s">
        <v>422</v>
      </c>
      <c r="C510" s="422">
        <v>2</v>
      </c>
      <c r="D510" s="422">
        <v>6</v>
      </c>
      <c r="E510" s="422">
        <f t="shared" si="130"/>
        <v>12</v>
      </c>
      <c r="F510" s="422"/>
      <c r="G510" s="416">
        <v>18.62</v>
      </c>
      <c r="H510" s="417">
        <v>10.5305</v>
      </c>
      <c r="I510" s="416">
        <f>ROUND(G510*H510,2)</f>
        <v>196.08</v>
      </c>
      <c r="J510" s="418">
        <f>ROUND(I510*E510,2)</f>
        <v>2352.96</v>
      </c>
      <c r="K510" s="419">
        <f t="shared" si="129"/>
        <v>470.59</v>
      </c>
      <c r="L510" s="420">
        <f t="shared" si="126"/>
        <v>2823.55</v>
      </c>
      <c r="M510" s="64"/>
      <c r="N510" s="77">
        <v>8953.6299999999992</v>
      </c>
      <c r="O510" s="18">
        <v>26971.200000000001</v>
      </c>
      <c r="P510" s="22"/>
      <c r="Q510" s="22"/>
      <c r="R510" s="22"/>
    </row>
    <row r="511" spans="1:18" s="20" customFormat="1" ht="51" hidden="1" x14ac:dyDescent="0.2">
      <c r="A511" s="470" t="s">
        <v>424</v>
      </c>
      <c r="B511" s="422" t="s">
        <v>422</v>
      </c>
      <c r="C511" s="422">
        <v>1</v>
      </c>
      <c r="D511" s="422">
        <v>2</v>
      </c>
      <c r="E511" s="422">
        <f t="shared" si="130"/>
        <v>2</v>
      </c>
      <c r="F511" s="422"/>
      <c r="G511" s="416">
        <v>161.86000000000001</v>
      </c>
      <c r="H511" s="417">
        <v>10.5305</v>
      </c>
      <c r="I511" s="416">
        <f t="shared" si="127"/>
        <v>1704.47</v>
      </c>
      <c r="J511" s="418">
        <f t="shared" si="128"/>
        <v>3408.94</v>
      </c>
      <c r="K511" s="419">
        <f t="shared" si="129"/>
        <v>681.79</v>
      </c>
      <c r="L511" s="420">
        <f t="shared" si="126"/>
        <v>4090.73</v>
      </c>
      <c r="M511" s="64"/>
      <c r="N511" s="77">
        <v>1279.3700000000001</v>
      </c>
      <c r="O511" s="18">
        <v>524.91999999999996</v>
      </c>
      <c r="P511" s="22"/>
      <c r="Q511" s="22"/>
      <c r="R511" s="22"/>
    </row>
    <row r="512" spans="1:18" s="20" customFormat="1" ht="38.25" hidden="1" x14ac:dyDescent="0.2">
      <c r="A512" s="470" t="s">
        <v>122</v>
      </c>
      <c r="B512" s="422" t="s">
        <v>422</v>
      </c>
      <c r="C512" s="422">
        <v>1</v>
      </c>
      <c r="D512" s="422">
        <v>2</v>
      </c>
      <c r="E512" s="422">
        <f t="shared" si="130"/>
        <v>2</v>
      </c>
      <c r="F512" s="422"/>
      <c r="G512" s="416">
        <v>501.73</v>
      </c>
      <c r="H512" s="417">
        <v>10.5305</v>
      </c>
      <c r="I512" s="416">
        <f t="shared" si="127"/>
        <v>5283.47</v>
      </c>
      <c r="J512" s="418">
        <f t="shared" si="128"/>
        <v>10566.94</v>
      </c>
      <c r="K512" s="419">
        <f t="shared" si="129"/>
        <v>2113.39</v>
      </c>
      <c r="L512" s="420">
        <f t="shared" si="126"/>
        <v>12680.33</v>
      </c>
      <c r="M512" s="144">
        <v>92813.099999999977</v>
      </c>
      <c r="N512" s="77">
        <v>1853.5800000000002</v>
      </c>
      <c r="O512" s="18">
        <v>1325.04</v>
      </c>
      <c r="P512" s="22"/>
      <c r="Q512" s="22"/>
      <c r="R512" s="22"/>
    </row>
    <row r="513" spans="1:18" s="20" customFormat="1" ht="51" hidden="1" x14ac:dyDescent="0.2">
      <c r="A513" s="470" t="s">
        <v>123</v>
      </c>
      <c r="B513" s="422" t="s">
        <v>422</v>
      </c>
      <c r="C513" s="422">
        <v>2</v>
      </c>
      <c r="D513" s="422">
        <v>6</v>
      </c>
      <c r="E513" s="422">
        <f t="shared" si="130"/>
        <v>12</v>
      </c>
      <c r="F513" s="422"/>
      <c r="G513" s="416">
        <v>135.63999999999999</v>
      </c>
      <c r="H513" s="417">
        <v>10.5305</v>
      </c>
      <c r="I513" s="416">
        <f t="shared" si="127"/>
        <v>1428.36</v>
      </c>
      <c r="J513" s="418">
        <f t="shared" si="128"/>
        <v>17140.32</v>
      </c>
      <c r="K513" s="419">
        <f t="shared" si="129"/>
        <v>3428.06</v>
      </c>
      <c r="L513" s="420">
        <f t="shared" si="126"/>
        <v>20568.38</v>
      </c>
      <c r="M513" s="64"/>
      <c r="N513" s="77">
        <v>5745.67</v>
      </c>
      <c r="O513" s="18">
        <v>9353.82</v>
      </c>
      <c r="P513" s="22"/>
      <c r="Q513" s="22"/>
      <c r="R513" s="22"/>
    </row>
    <row r="514" spans="1:18" s="20" customFormat="1" ht="38.25" hidden="1" x14ac:dyDescent="0.2">
      <c r="A514" s="469" t="s">
        <v>124</v>
      </c>
      <c r="B514" s="422" t="s">
        <v>91</v>
      </c>
      <c r="C514" s="422">
        <v>1415</v>
      </c>
      <c r="D514" s="422">
        <v>1</v>
      </c>
      <c r="E514" s="422">
        <f>ROUND(C514*D514,2)</f>
        <v>1415</v>
      </c>
      <c r="F514" s="422">
        <v>8.52</v>
      </c>
      <c r="G514" s="416">
        <f>F514/1.2</f>
        <v>7.1</v>
      </c>
      <c r="H514" s="417">
        <v>1.1898</v>
      </c>
      <c r="I514" s="416">
        <f t="shared" si="127"/>
        <v>8.4499999999999993</v>
      </c>
      <c r="J514" s="418">
        <f>ROUND(I514*E514,2)</f>
        <v>11956.75</v>
      </c>
      <c r="K514" s="419">
        <f t="shared" si="129"/>
        <v>2391.35</v>
      </c>
      <c r="L514" s="420">
        <f t="shared" si="126"/>
        <v>14348.1</v>
      </c>
      <c r="M514" s="64"/>
      <c r="N514" s="77">
        <v>9319.9</v>
      </c>
      <c r="O514" s="18">
        <v>9753.1200000000008</v>
      </c>
      <c r="P514" s="22"/>
      <c r="Q514" s="22"/>
      <c r="R514" s="22"/>
    </row>
    <row r="515" spans="1:18" s="20" customFormat="1" ht="25.5" hidden="1" x14ac:dyDescent="0.2">
      <c r="A515" s="68" t="s">
        <v>60</v>
      </c>
      <c r="B515" s="422"/>
      <c r="C515" s="422"/>
      <c r="D515" s="422"/>
      <c r="E515" s="422"/>
      <c r="F515" s="422"/>
      <c r="G515" s="416"/>
      <c r="H515" s="422"/>
      <c r="I515" s="416"/>
      <c r="J515" s="418"/>
      <c r="K515" s="419"/>
      <c r="L515" s="420"/>
      <c r="M515" s="64"/>
      <c r="N515" s="77">
        <v>4216.3899999999994</v>
      </c>
      <c r="O515" s="18">
        <v>28345.200000000001</v>
      </c>
      <c r="P515" s="22"/>
      <c r="Q515" s="22"/>
      <c r="R515" s="22"/>
    </row>
    <row r="516" spans="1:18" s="20" customFormat="1" ht="38.25" hidden="1" x14ac:dyDescent="0.2">
      <c r="A516" s="68" t="s">
        <v>61</v>
      </c>
      <c r="B516" s="231"/>
      <c r="C516" s="442"/>
      <c r="D516" s="442"/>
      <c r="E516" s="442"/>
      <c r="F516" s="442"/>
      <c r="G516" s="442"/>
      <c r="H516" s="442"/>
      <c r="I516" s="416"/>
      <c r="J516" s="418"/>
      <c r="K516" s="419"/>
      <c r="L516" s="420"/>
      <c r="M516" s="64"/>
      <c r="N516" s="77"/>
      <c r="O516" s="18"/>
      <c r="P516" s="22"/>
      <c r="Q516" s="22"/>
      <c r="R516" s="22"/>
    </row>
    <row r="517" spans="1:18" s="20" customFormat="1" ht="153" hidden="1" x14ac:dyDescent="0.2">
      <c r="A517" s="469" t="s">
        <v>368</v>
      </c>
      <c r="B517" s="423" t="s">
        <v>354</v>
      </c>
      <c r="C517" s="422">
        <v>0.70199999999999996</v>
      </c>
      <c r="D517" s="422">
        <v>1</v>
      </c>
      <c r="E517" s="423">
        <f>C517*D517</f>
        <v>0.70199999999999996</v>
      </c>
      <c r="F517" s="477">
        <v>279.35000000000002</v>
      </c>
      <c r="G517" s="477">
        <f>F517/1.2</f>
        <v>232.79166666666669</v>
      </c>
      <c r="H517" s="422">
        <v>13.9777</v>
      </c>
      <c r="I517" s="416">
        <f t="shared" si="127"/>
        <v>3253.89</v>
      </c>
      <c r="J517" s="418">
        <f t="shared" ref="J517:J578" si="131">ROUND(I517*E517,2)</f>
        <v>2284.23</v>
      </c>
      <c r="K517" s="419">
        <f t="shared" si="129"/>
        <v>456.85</v>
      </c>
      <c r="L517" s="437">
        <f t="shared" si="126"/>
        <v>2741.08</v>
      </c>
      <c r="M517" s="120"/>
      <c r="N517" s="77"/>
      <c r="O517" s="18"/>
      <c r="P517" s="22"/>
      <c r="Q517" s="22"/>
      <c r="R517" s="22"/>
    </row>
    <row r="518" spans="1:18" s="44" customFormat="1" ht="51" hidden="1" x14ac:dyDescent="0.2">
      <c r="A518" s="469" t="s">
        <v>356</v>
      </c>
      <c r="B518" s="445" t="s">
        <v>355</v>
      </c>
      <c r="C518" s="422">
        <v>4.5630000000000004E-2</v>
      </c>
      <c r="D518" s="422">
        <v>1</v>
      </c>
      <c r="E518" s="444">
        <f t="shared" ref="E518:E558" si="132">C518*D518</f>
        <v>4.5630000000000004E-2</v>
      </c>
      <c r="F518" s="477">
        <v>19696.099999999999</v>
      </c>
      <c r="G518" s="477">
        <f>F518/1.2</f>
        <v>16413.416666666668</v>
      </c>
      <c r="H518" s="422">
        <v>13.9777</v>
      </c>
      <c r="I518" s="416">
        <f t="shared" si="127"/>
        <v>229421.81</v>
      </c>
      <c r="J518" s="418">
        <f t="shared" si="131"/>
        <v>10468.52</v>
      </c>
      <c r="K518" s="419">
        <f t="shared" si="129"/>
        <v>2093.6999999999998</v>
      </c>
      <c r="L518" s="437">
        <f t="shared" si="126"/>
        <v>12562.22</v>
      </c>
      <c r="M518" s="120"/>
      <c r="N518" s="102">
        <v>2529.0528058749996</v>
      </c>
      <c r="O518" s="43">
        <v>4431.47</v>
      </c>
      <c r="Q518" s="45">
        <v>0.14000000000000001</v>
      </c>
      <c r="R518" s="46" t="s">
        <v>371</v>
      </c>
    </row>
    <row r="519" spans="1:18" s="44" customFormat="1" ht="51" hidden="1" x14ac:dyDescent="0.2">
      <c r="A519" s="469" t="s">
        <v>357</v>
      </c>
      <c r="B519" s="423" t="s">
        <v>355</v>
      </c>
      <c r="C519" s="422">
        <v>1.755E-2</v>
      </c>
      <c r="D519" s="422">
        <v>1</v>
      </c>
      <c r="E519" s="423">
        <f t="shared" si="132"/>
        <v>1.755E-2</v>
      </c>
      <c r="F519" s="477">
        <v>437.82</v>
      </c>
      <c r="G519" s="477">
        <f t="shared" ref="G519:G578" si="133">F519/1.2</f>
        <v>364.85</v>
      </c>
      <c r="H519" s="422">
        <v>13.9777</v>
      </c>
      <c r="I519" s="416">
        <f t="shared" si="127"/>
        <v>5099.76</v>
      </c>
      <c r="J519" s="418">
        <f t="shared" si="131"/>
        <v>89.5</v>
      </c>
      <c r="K519" s="419">
        <f t="shared" si="129"/>
        <v>17.899999999999999</v>
      </c>
      <c r="L519" s="437">
        <f t="shared" si="126"/>
        <v>107.4</v>
      </c>
      <c r="M519" s="120"/>
      <c r="N519" s="102">
        <v>11590.508907541251</v>
      </c>
      <c r="O519" s="43">
        <v>20309.21</v>
      </c>
      <c r="Q519" s="47" t="s">
        <v>377</v>
      </c>
      <c r="R519" s="46">
        <v>19696.099999999999</v>
      </c>
    </row>
    <row r="520" spans="1:18" s="44" customFormat="1" ht="153" hidden="1" x14ac:dyDescent="0.2">
      <c r="A520" s="469" t="s">
        <v>394</v>
      </c>
      <c r="B520" s="423" t="s">
        <v>354</v>
      </c>
      <c r="C520" s="422">
        <v>0.61199999999999999</v>
      </c>
      <c r="D520" s="422">
        <v>1</v>
      </c>
      <c r="E520" s="423">
        <f t="shared" si="132"/>
        <v>0.61199999999999999</v>
      </c>
      <c r="F520" s="477">
        <v>279.35000000000002</v>
      </c>
      <c r="G520" s="477">
        <f t="shared" si="133"/>
        <v>232.79166666666669</v>
      </c>
      <c r="H520" s="422">
        <v>13.9777</v>
      </c>
      <c r="I520" s="416">
        <f t="shared" si="127"/>
        <v>3253.89</v>
      </c>
      <c r="J520" s="418">
        <f t="shared" si="131"/>
        <v>1991.38</v>
      </c>
      <c r="K520" s="419">
        <f t="shared" si="129"/>
        <v>398.28</v>
      </c>
      <c r="L520" s="437">
        <f t="shared" si="126"/>
        <v>2389.66</v>
      </c>
      <c r="M520" s="120"/>
      <c r="N520" s="102">
        <v>99.097804838749994</v>
      </c>
      <c r="O520" s="43">
        <v>173.63</v>
      </c>
      <c r="Q520" s="45">
        <v>3.5000000000000003E-2</v>
      </c>
      <c r="R520" s="46">
        <v>437.82</v>
      </c>
    </row>
    <row r="521" spans="1:18" s="44" customFormat="1" ht="51" hidden="1" x14ac:dyDescent="0.2">
      <c r="A521" s="469" t="s">
        <v>356</v>
      </c>
      <c r="B521" s="445" t="s">
        <v>355</v>
      </c>
      <c r="C521" s="422">
        <v>3.6719999999999996E-2</v>
      </c>
      <c r="D521" s="422">
        <v>1</v>
      </c>
      <c r="E521" s="444">
        <f t="shared" si="132"/>
        <v>3.6719999999999996E-2</v>
      </c>
      <c r="F521" s="477">
        <v>19696.099999999999</v>
      </c>
      <c r="G521" s="477">
        <f t="shared" si="133"/>
        <v>16413.416666666668</v>
      </c>
      <c r="H521" s="422">
        <v>13.9777</v>
      </c>
      <c r="I521" s="416">
        <f t="shared" si="127"/>
        <v>229421.81</v>
      </c>
      <c r="J521" s="418">
        <f t="shared" si="131"/>
        <v>8424.3700000000008</v>
      </c>
      <c r="K521" s="419">
        <f t="shared" si="129"/>
        <v>1684.87</v>
      </c>
      <c r="L521" s="437">
        <f t="shared" si="126"/>
        <v>10109.24</v>
      </c>
      <c r="M521" s="120"/>
      <c r="N521" s="102">
        <v>2204.8150102500003</v>
      </c>
      <c r="O521" s="43">
        <v>3863.34</v>
      </c>
      <c r="Q521" s="45">
        <v>0.12</v>
      </c>
      <c r="R521" s="46" t="s">
        <v>371</v>
      </c>
    </row>
    <row r="522" spans="1:18" s="44" customFormat="1" ht="51" hidden="1" x14ac:dyDescent="0.2">
      <c r="A522" s="469" t="s">
        <v>357</v>
      </c>
      <c r="B522" s="423" t="s">
        <v>355</v>
      </c>
      <c r="C522" s="422">
        <v>1.5300000000000001E-2</v>
      </c>
      <c r="D522" s="422">
        <v>1</v>
      </c>
      <c r="E522" s="423">
        <f t="shared" si="132"/>
        <v>1.5300000000000001E-2</v>
      </c>
      <c r="F522" s="477">
        <v>437.82</v>
      </c>
      <c r="G522" s="477">
        <f t="shared" si="133"/>
        <v>364.85</v>
      </c>
      <c r="H522" s="422">
        <v>13.9777</v>
      </c>
      <c r="I522" s="416">
        <f t="shared" si="127"/>
        <v>5099.76</v>
      </c>
      <c r="J522" s="418">
        <f t="shared" si="131"/>
        <v>78.03</v>
      </c>
      <c r="K522" s="419">
        <f t="shared" si="129"/>
        <v>15.61</v>
      </c>
      <c r="L522" s="437">
        <f t="shared" si="126"/>
        <v>93.64</v>
      </c>
      <c r="M522" s="120"/>
      <c r="N522" s="102">
        <v>9327.2790616899983</v>
      </c>
      <c r="O522" s="43">
        <v>16343.51</v>
      </c>
      <c r="Q522" s="47" t="s">
        <v>378</v>
      </c>
      <c r="R522" s="46">
        <v>19696.099999999999</v>
      </c>
    </row>
    <row r="523" spans="1:18" s="44" customFormat="1" ht="153" hidden="1" x14ac:dyDescent="0.2">
      <c r="A523" s="469" t="s">
        <v>407</v>
      </c>
      <c r="B523" s="423" t="s">
        <v>354</v>
      </c>
      <c r="C523" s="422">
        <v>0.26800000000000002</v>
      </c>
      <c r="D523" s="422">
        <v>1</v>
      </c>
      <c r="E523" s="423">
        <f t="shared" si="132"/>
        <v>0.26800000000000002</v>
      </c>
      <c r="F523" s="477">
        <v>279.35000000000002</v>
      </c>
      <c r="G523" s="477">
        <f t="shared" si="133"/>
        <v>232.79166666666669</v>
      </c>
      <c r="H523" s="422">
        <v>13.9777</v>
      </c>
      <c r="I523" s="416">
        <f t="shared" si="127"/>
        <v>3253.89</v>
      </c>
      <c r="J523" s="418">
        <f t="shared" si="131"/>
        <v>872.04</v>
      </c>
      <c r="K523" s="419">
        <f t="shared" si="129"/>
        <v>174.41</v>
      </c>
      <c r="L523" s="437">
        <f t="shared" si="126"/>
        <v>1046.45</v>
      </c>
      <c r="M523" s="120"/>
      <c r="N523" s="102">
        <v>86.390906782500011</v>
      </c>
      <c r="O523" s="43">
        <v>151.37</v>
      </c>
      <c r="Q523" s="45">
        <v>3.1E-2</v>
      </c>
      <c r="R523" s="46">
        <v>437.82</v>
      </c>
    </row>
    <row r="524" spans="1:18" s="44" customFormat="1" ht="51" hidden="1" x14ac:dyDescent="0.2">
      <c r="A524" s="469" t="s">
        <v>356</v>
      </c>
      <c r="B524" s="445" t="s">
        <v>355</v>
      </c>
      <c r="C524" s="422">
        <v>5.2260000000000008E-2</v>
      </c>
      <c r="D524" s="422">
        <v>1</v>
      </c>
      <c r="E524" s="444">
        <f t="shared" si="132"/>
        <v>5.2260000000000008E-2</v>
      </c>
      <c r="F524" s="477">
        <v>19696.099999999999</v>
      </c>
      <c r="G524" s="477">
        <f t="shared" si="133"/>
        <v>16413.416666666668</v>
      </c>
      <c r="H524" s="422">
        <v>13.9777</v>
      </c>
      <c r="I524" s="416">
        <f t="shared" si="127"/>
        <v>229421.81</v>
      </c>
      <c r="J524" s="418">
        <f t="shared" si="131"/>
        <v>11989.58</v>
      </c>
      <c r="K524" s="419">
        <f t="shared" si="129"/>
        <v>2397.92</v>
      </c>
      <c r="L524" s="437">
        <f t="shared" si="126"/>
        <v>14387.5</v>
      </c>
      <c r="M524" s="120"/>
      <c r="N524" s="102">
        <v>965.50899141666673</v>
      </c>
      <c r="O524" s="43">
        <v>1691.79</v>
      </c>
      <c r="Q524" s="45">
        <v>0.6</v>
      </c>
      <c r="R524" s="46" t="s">
        <v>371</v>
      </c>
    </row>
    <row r="525" spans="1:18" s="44" customFormat="1" ht="51" hidden="1" x14ac:dyDescent="0.2">
      <c r="A525" s="469" t="s">
        <v>357</v>
      </c>
      <c r="B525" s="423" t="s">
        <v>355</v>
      </c>
      <c r="C525" s="422">
        <v>2.01E-2</v>
      </c>
      <c r="D525" s="422">
        <v>1</v>
      </c>
      <c r="E525" s="423">
        <f t="shared" si="132"/>
        <v>2.01E-2</v>
      </c>
      <c r="F525" s="477">
        <v>437.82</v>
      </c>
      <c r="G525" s="477">
        <f t="shared" si="133"/>
        <v>364.85</v>
      </c>
      <c r="H525" s="422">
        <v>13.9777</v>
      </c>
      <c r="I525" s="416">
        <f t="shared" si="127"/>
        <v>5099.76</v>
      </c>
      <c r="J525" s="418">
        <f t="shared" si="131"/>
        <v>102.51</v>
      </c>
      <c r="K525" s="419">
        <f t="shared" si="129"/>
        <v>20.5</v>
      </c>
      <c r="L525" s="437">
        <f t="shared" si="126"/>
        <v>123.01</v>
      </c>
      <c r="M525" s="120"/>
      <c r="N525" s="102">
        <v>13274.598321457503</v>
      </c>
      <c r="O525" s="43">
        <v>23260.12</v>
      </c>
      <c r="Q525" s="47" t="s">
        <v>379</v>
      </c>
      <c r="R525" s="46">
        <v>19696.099999999999</v>
      </c>
    </row>
    <row r="526" spans="1:18" s="44" customFormat="1" ht="178.5" hidden="1" x14ac:dyDescent="0.2">
      <c r="A526" s="469" t="s">
        <v>393</v>
      </c>
      <c r="B526" s="423" t="s">
        <v>354</v>
      </c>
      <c r="C526" s="422">
        <v>1.8819999999999999</v>
      </c>
      <c r="D526" s="422">
        <v>1</v>
      </c>
      <c r="E526" s="423">
        <f t="shared" si="132"/>
        <v>1.8819999999999999</v>
      </c>
      <c r="F526" s="477">
        <v>279.35000000000002</v>
      </c>
      <c r="G526" s="477">
        <f t="shared" si="133"/>
        <v>232.79166666666669</v>
      </c>
      <c r="H526" s="422">
        <v>13.9777</v>
      </c>
      <c r="I526" s="416">
        <f t="shared" si="127"/>
        <v>3253.89</v>
      </c>
      <c r="J526" s="418">
        <f t="shared" si="131"/>
        <v>6123.82</v>
      </c>
      <c r="K526" s="419">
        <f t="shared" si="129"/>
        <v>1224.76</v>
      </c>
      <c r="L526" s="437">
        <f t="shared" si="126"/>
        <v>7348.58</v>
      </c>
      <c r="M526" s="120"/>
      <c r="N526" s="102">
        <v>113.4962893025</v>
      </c>
      <c r="O526" s="43">
        <v>198.86</v>
      </c>
      <c r="Q526" s="45">
        <v>0.04</v>
      </c>
      <c r="R526" s="46">
        <v>437.82</v>
      </c>
    </row>
    <row r="527" spans="1:18" s="44" customFormat="1" ht="38.25" hidden="1" x14ac:dyDescent="0.2">
      <c r="A527" s="469" t="s">
        <v>358</v>
      </c>
      <c r="B527" s="445" t="s">
        <v>355</v>
      </c>
      <c r="C527" s="422">
        <v>3.0615000000000003E-2</v>
      </c>
      <c r="D527" s="422">
        <v>1</v>
      </c>
      <c r="E527" s="423">
        <f t="shared" si="132"/>
        <v>3.0615000000000003E-2</v>
      </c>
      <c r="F527" s="477">
        <v>19696.099999999999</v>
      </c>
      <c r="G527" s="477">
        <f t="shared" si="133"/>
        <v>16413.416666666668</v>
      </c>
      <c r="H527" s="422">
        <v>13.9777</v>
      </c>
      <c r="I527" s="416">
        <f t="shared" si="127"/>
        <v>229421.81</v>
      </c>
      <c r="J527" s="418">
        <f t="shared" si="131"/>
        <v>7023.75</v>
      </c>
      <c r="K527" s="419">
        <f t="shared" si="129"/>
        <v>1404.75</v>
      </c>
      <c r="L527" s="437">
        <f t="shared" si="126"/>
        <v>8428.5</v>
      </c>
      <c r="M527" s="120"/>
      <c r="N527" s="102">
        <v>6780.1661262916659</v>
      </c>
      <c r="O527" s="43">
        <v>11880.39</v>
      </c>
      <c r="Q527" s="45">
        <v>3.8</v>
      </c>
      <c r="R527" s="46" t="s">
        <v>371</v>
      </c>
    </row>
    <row r="528" spans="1:18" s="44" customFormat="1" ht="38.25" hidden="1" x14ac:dyDescent="0.2">
      <c r="A528" s="469" t="s">
        <v>359</v>
      </c>
      <c r="B528" s="423" t="s">
        <v>355</v>
      </c>
      <c r="C528" s="422">
        <v>1.1775000000000001E-2</v>
      </c>
      <c r="D528" s="422">
        <v>1</v>
      </c>
      <c r="E528" s="423">
        <f t="shared" si="132"/>
        <v>1.1775000000000001E-2</v>
      </c>
      <c r="F528" s="477">
        <v>437.82</v>
      </c>
      <c r="G528" s="477">
        <f t="shared" si="133"/>
        <v>364.85</v>
      </c>
      <c r="H528" s="422">
        <v>13.9777</v>
      </c>
      <c r="I528" s="416">
        <f t="shared" si="127"/>
        <v>5099.76</v>
      </c>
      <c r="J528" s="418">
        <f t="shared" si="131"/>
        <v>60.05</v>
      </c>
      <c r="K528" s="419">
        <f t="shared" si="129"/>
        <v>12.01</v>
      </c>
      <c r="L528" s="437">
        <f t="shared" si="126"/>
        <v>72.06</v>
      </c>
      <c r="M528" s="120"/>
      <c r="N528" s="102">
        <v>7776.5393524956262</v>
      </c>
      <c r="O528" s="43">
        <v>13626.26</v>
      </c>
      <c r="Q528" s="47" t="s">
        <v>380</v>
      </c>
      <c r="R528" s="46">
        <v>19696.099999999999</v>
      </c>
    </row>
    <row r="529" spans="1:18" s="44" customFormat="1" ht="178.5" hidden="1" x14ac:dyDescent="0.2">
      <c r="A529" s="469" t="s">
        <v>362</v>
      </c>
      <c r="B529" s="423" t="s">
        <v>354</v>
      </c>
      <c r="C529" s="435">
        <v>0.75</v>
      </c>
      <c r="D529" s="422">
        <v>1</v>
      </c>
      <c r="E529" s="423">
        <f t="shared" si="132"/>
        <v>0.75</v>
      </c>
      <c r="F529" s="477">
        <v>279.35000000000002</v>
      </c>
      <c r="G529" s="477">
        <f t="shared" si="133"/>
        <v>232.79166666666669</v>
      </c>
      <c r="H529" s="422">
        <v>13.9777</v>
      </c>
      <c r="I529" s="416">
        <f t="shared" si="127"/>
        <v>3253.89</v>
      </c>
      <c r="J529" s="418">
        <f t="shared" si="131"/>
        <v>2440.42</v>
      </c>
      <c r="K529" s="419">
        <f t="shared" si="129"/>
        <v>488.08</v>
      </c>
      <c r="L529" s="437">
        <f t="shared" si="126"/>
        <v>2928.5</v>
      </c>
      <c r="M529" s="120"/>
      <c r="N529" s="102">
        <v>66.484766494375009</v>
      </c>
      <c r="O529" s="43">
        <v>116.5</v>
      </c>
      <c r="Q529" s="45">
        <v>2.4E-2</v>
      </c>
      <c r="R529" s="46">
        <v>437.82</v>
      </c>
    </row>
    <row r="530" spans="1:18" s="44" customFormat="1" ht="51" hidden="1" x14ac:dyDescent="0.2">
      <c r="A530" s="469" t="s">
        <v>356</v>
      </c>
      <c r="B530" s="445" t="s">
        <v>355</v>
      </c>
      <c r="C530" s="422">
        <v>3.6594999999999996E-2</v>
      </c>
      <c r="D530" s="422">
        <v>1</v>
      </c>
      <c r="E530" s="444">
        <f t="shared" si="132"/>
        <v>3.6594999999999996E-2</v>
      </c>
      <c r="F530" s="477">
        <v>19696.099999999999</v>
      </c>
      <c r="G530" s="477">
        <f t="shared" si="133"/>
        <v>16413.416666666668</v>
      </c>
      <c r="H530" s="422">
        <v>13.9777</v>
      </c>
      <c r="I530" s="416">
        <f t="shared" si="127"/>
        <v>229421.81</v>
      </c>
      <c r="J530" s="418">
        <f t="shared" si="131"/>
        <v>8395.69</v>
      </c>
      <c r="K530" s="419">
        <f t="shared" si="129"/>
        <v>1679.14</v>
      </c>
      <c r="L530" s="437">
        <f t="shared" si="126"/>
        <v>10074.83</v>
      </c>
      <c r="M530" s="120"/>
      <c r="N530" s="102">
        <v>2701.9782968750001</v>
      </c>
      <c r="O530" s="43">
        <v>4734.4799999999996</v>
      </c>
      <c r="Q530" s="45">
        <v>1.6</v>
      </c>
      <c r="R530" s="46" t="s">
        <v>371</v>
      </c>
    </row>
    <row r="531" spans="1:18" s="44" customFormat="1" ht="38.25" hidden="1" x14ac:dyDescent="0.2">
      <c r="A531" s="469" t="s">
        <v>359</v>
      </c>
      <c r="B531" s="423" t="s">
        <v>355</v>
      </c>
      <c r="C531" s="422">
        <v>1.4074999999999999E-2</v>
      </c>
      <c r="D531" s="422">
        <v>1</v>
      </c>
      <c r="E531" s="444">
        <f t="shared" si="132"/>
        <v>1.4074999999999999E-2</v>
      </c>
      <c r="F531" s="477">
        <v>437.82</v>
      </c>
      <c r="G531" s="477">
        <f t="shared" si="133"/>
        <v>364.85</v>
      </c>
      <c r="H531" s="422">
        <v>13.9777</v>
      </c>
      <c r="I531" s="416">
        <f t="shared" si="127"/>
        <v>5099.76</v>
      </c>
      <c r="J531" s="418">
        <f t="shared" si="131"/>
        <v>71.78</v>
      </c>
      <c r="K531" s="419">
        <f t="shared" si="129"/>
        <v>14.36</v>
      </c>
      <c r="L531" s="437">
        <f t="shared" si="126"/>
        <v>86.14</v>
      </c>
      <c r="M531" s="120"/>
      <c r="N531" s="102">
        <v>9295.5196081847898</v>
      </c>
      <c r="O531" s="43">
        <v>16287.87</v>
      </c>
      <c r="Q531" s="47" t="s">
        <v>381</v>
      </c>
      <c r="R531" s="46">
        <v>19696.099999999999</v>
      </c>
    </row>
    <row r="532" spans="1:18" s="44" customFormat="1" ht="178.5" hidden="1" x14ac:dyDescent="0.2">
      <c r="A532" s="469" t="s">
        <v>360</v>
      </c>
      <c r="B532" s="423" t="s">
        <v>354</v>
      </c>
      <c r="C532" s="422">
        <v>0.182</v>
      </c>
      <c r="D532" s="422">
        <v>1</v>
      </c>
      <c r="E532" s="423">
        <f t="shared" si="132"/>
        <v>0.182</v>
      </c>
      <c r="F532" s="477">
        <v>279.35000000000002</v>
      </c>
      <c r="G532" s="477">
        <f t="shared" si="133"/>
        <v>232.79166666666669</v>
      </c>
      <c r="H532" s="422">
        <v>13.9777</v>
      </c>
      <c r="I532" s="416">
        <f t="shared" si="127"/>
        <v>3253.89</v>
      </c>
      <c r="J532" s="418">
        <f t="shared" si="131"/>
        <v>592.21</v>
      </c>
      <c r="K532" s="419">
        <f t="shared" si="129"/>
        <v>118.44</v>
      </c>
      <c r="L532" s="437">
        <f t="shared" si="126"/>
        <v>710.65</v>
      </c>
      <c r="M532" s="120"/>
      <c r="N532" s="102">
        <v>79.476928951874996</v>
      </c>
      <c r="O532" s="43">
        <v>139.25</v>
      </c>
      <c r="Q532" s="45">
        <v>2.8000000000000001E-2</v>
      </c>
      <c r="R532" s="46">
        <v>437.82</v>
      </c>
    </row>
    <row r="533" spans="1:18" s="44" customFormat="1" ht="51" hidden="1" x14ac:dyDescent="0.2">
      <c r="A533" s="469" t="s">
        <v>356</v>
      </c>
      <c r="B533" s="445" t="s">
        <v>355</v>
      </c>
      <c r="C533" s="422">
        <v>5.9150000000000001E-3</v>
      </c>
      <c r="D533" s="422">
        <v>1</v>
      </c>
      <c r="E533" s="444">
        <f t="shared" si="132"/>
        <v>5.9150000000000001E-3</v>
      </c>
      <c r="F533" s="477">
        <v>19696.099999999999</v>
      </c>
      <c r="G533" s="477">
        <f t="shared" si="133"/>
        <v>16413.416666666668</v>
      </c>
      <c r="H533" s="422">
        <v>13.9777</v>
      </c>
      <c r="I533" s="416">
        <f t="shared" si="127"/>
        <v>229421.81</v>
      </c>
      <c r="J533" s="418">
        <f t="shared" si="131"/>
        <v>1357.03</v>
      </c>
      <c r="K533" s="419">
        <f t="shared" si="129"/>
        <v>271.41000000000003</v>
      </c>
      <c r="L533" s="437">
        <f t="shared" si="126"/>
        <v>1628.44</v>
      </c>
      <c r="M533" s="120"/>
      <c r="N533" s="102">
        <v>655.67998670833333</v>
      </c>
      <c r="O533" s="43">
        <v>1148.9000000000001</v>
      </c>
      <c r="Q533" s="45">
        <v>0.4</v>
      </c>
      <c r="R533" s="46" t="s">
        <v>371</v>
      </c>
    </row>
    <row r="534" spans="1:18" s="44" customFormat="1" ht="51" hidden="1" x14ac:dyDescent="0.2">
      <c r="A534" s="469" t="s">
        <v>357</v>
      </c>
      <c r="B534" s="423" t="s">
        <v>355</v>
      </c>
      <c r="C534" s="422">
        <v>2.2750000000000001E-3</v>
      </c>
      <c r="D534" s="422">
        <v>1</v>
      </c>
      <c r="E534" s="444">
        <f t="shared" si="132"/>
        <v>2.2750000000000001E-3</v>
      </c>
      <c r="F534" s="477">
        <v>437.82</v>
      </c>
      <c r="G534" s="477">
        <f t="shared" si="133"/>
        <v>364.85</v>
      </c>
      <c r="H534" s="422">
        <v>13.9777</v>
      </c>
      <c r="I534" s="416">
        <f t="shared" si="127"/>
        <v>5099.76</v>
      </c>
      <c r="J534" s="418">
        <f t="shared" si="131"/>
        <v>11.6</v>
      </c>
      <c r="K534" s="419">
        <f t="shared" si="129"/>
        <v>2.3199999999999998</v>
      </c>
      <c r="L534" s="437">
        <f t="shared" si="126"/>
        <v>13.92</v>
      </c>
      <c r="M534" s="120"/>
      <c r="N534" s="102">
        <v>1502.4713398664585</v>
      </c>
      <c r="O534" s="43">
        <v>2632.68</v>
      </c>
      <c r="Q534" s="47" t="s">
        <v>382</v>
      </c>
      <c r="R534" s="46">
        <v>19696.099999999999</v>
      </c>
    </row>
    <row r="535" spans="1:18" s="44" customFormat="1" ht="178.5" hidden="1" x14ac:dyDescent="0.2">
      <c r="A535" s="469" t="s">
        <v>410</v>
      </c>
      <c r="B535" s="423" t="s">
        <v>354</v>
      </c>
      <c r="C535" s="435">
        <v>0.44</v>
      </c>
      <c r="D535" s="422">
        <v>1</v>
      </c>
      <c r="E535" s="423">
        <f t="shared" si="132"/>
        <v>0.44</v>
      </c>
      <c r="F535" s="477">
        <v>279.35000000000002</v>
      </c>
      <c r="G535" s="477">
        <f t="shared" si="133"/>
        <v>232.79166666666669</v>
      </c>
      <c r="H535" s="422">
        <v>13.9777</v>
      </c>
      <c r="I535" s="416">
        <f t="shared" si="127"/>
        <v>3253.89</v>
      </c>
      <c r="J535" s="418">
        <f t="shared" si="131"/>
        <v>1431.71</v>
      </c>
      <c r="K535" s="419">
        <f t="shared" si="129"/>
        <v>286.33999999999997</v>
      </c>
      <c r="L535" s="437">
        <f t="shared" si="126"/>
        <v>1718.05</v>
      </c>
      <c r="M535" s="120"/>
      <c r="N535" s="102">
        <v>12.844530256875</v>
      </c>
      <c r="O535" s="43">
        <v>22.51</v>
      </c>
      <c r="Q535" s="45">
        <v>5.0000000000000001E-3</v>
      </c>
      <c r="R535" s="46">
        <v>437.82</v>
      </c>
    </row>
    <row r="536" spans="1:18" s="44" customFormat="1" ht="51" hidden="1" x14ac:dyDescent="0.2">
      <c r="A536" s="469" t="s">
        <v>356</v>
      </c>
      <c r="B536" s="445" t="s">
        <v>355</v>
      </c>
      <c r="C536" s="422">
        <v>1.43E-2</v>
      </c>
      <c r="D536" s="422">
        <v>1</v>
      </c>
      <c r="E536" s="423">
        <f t="shared" si="132"/>
        <v>1.43E-2</v>
      </c>
      <c r="F536" s="477">
        <v>19696.099999999999</v>
      </c>
      <c r="G536" s="477">
        <f t="shared" si="133"/>
        <v>16413.416666666668</v>
      </c>
      <c r="H536" s="422">
        <v>13.9777</v>
      </c>
      <c r="I536" s="416">
        <f t="shared" si="127"/>
        <v>229421.81</v>
      </c>
      <c r="J536" s="418">
        <f t="shared" si="131"/>
        <v>3280.73</v>
      </c>
      <c r="K536" s="419">
        <f t="shared" si="129"/>
        <v>656.15</v>
      </c>
      <c r="L536" s="437">
        <f t="shared" si="126"/>
        <v>3936.88</v>
      </c>
      <c r="M536" s="120"/>
      <c r="N536" s="102">
        <v>1585.1570008333333</v>
      </c>
      <c r="O536" s="48">
        <v>2777.56</v>
      </c>
      <c r="Q536" s="45">
        <v>0.8</v>
      </c>
      <c r="R536" s="46" t="s">
        <v>371</v>
      </c>
    </row>
    <row r="537" spans="1:18" s="44" customFormat="1" ht="51" hidden="1" x14ac:dyDescent="0.2">
      <c r="A537" s="469" t="s">
        <v>357</v>
      </c>
      <c r="B537" s="423" t="s">
        <v>355</v>
      </c>
      <c r="C537" s="422">
        <v>5.4999999999999997E-3</v>
      </c>
      <c r="D537" s="422">
        <v>1</v>
      </c>
      <c r="E537" s="423">
        <f t="shared" si="132"/>
        <v>5.4999999999999997E-3</v>
      </c>
      <c r="F537" s="477">
        <v>437.82</v>
      </c>
      <c r="G537" s="477">
        <f t="shared" si="133"/>
        <v>364.85</v>
      </c>
      <c r="H537" s="422">
        <v>13.9777</v>
      </c>
      <c r="I537" s="416">
        <f t="shared" si="127"/>
        <v>5099.76</v>
      </c>
      <c r="J537" s="418">
        <f t="shared" si="131"/>
        <v>28.05</v>
      </c>
      <c r="K537" s="419">
        <f t="shared" si="129"/>
        <v>5.61</v>
      </c>
      <c r="L537" s="437">
        <f t="shared" si="126"/>
        <v>33.659999999999997</v>
      </c>
      <c r="M537" s="120"/>
      <c r="N537" s="102">
        <v>3632.3514809958333</v>
      </c>
      <c r="O537" s="43">
        <v>6364.71</v>
      </c>
      <c r="Q537" s="47" t="s">
        <v>383</v>
      </c>
      <c r="R537" s="46">
        <v>19696.099999999999</v>
      </c>
    </row>
    <row r="538" spans="1:18" s="44" customFormat="1" ht="153" hidden="1" x14ac:dyDescent="0.2">
      <c r="A538" s="469" t="s">
        <v>395</v>
      </c>
      <c r="B538" s="423" t="s">
        <v>354</v>
      </c>
      <c r="C538" s="422">
        <v>0.161</v>
      </c>
      <c r="D538" s="422">
        <v>1</v>
      </c>
      <c r="E538" s="423">
        <f t="shared" si="132"/>
        <v>0.161</v>
      </c>
      <c r="F538" s="477">
        <v>279.35000000000002</v>
      </c>
      <c r="G538" s="477">
        <f t="shared" si="133"/>
        <v>232.79166666666669</v>
      </c>
      <c r="H538" s="422">
        <v>13.9777</v>
      </c>
      <c r="I538" s="416">
        <f t="shared" si="127"/>
        <v>3253.89</v>
      </c>
      <c r="J538" s="418">
        <f t="shared" si="131"/>
        <v>523.88</v>
      </c>
      <c r="K538" s="419">
        <f t="shared" si="129"/>
        <v>104.78</v>
      </c>
      <c r="L538" s="437">
        <f t="shared" si="126"/>
        <v>628.66</v>
      </c>
      <c r="M538" s="120"/>
      <c r="N538" s="102">
        <v>31.059084137499998</v>
      </c>
      <c r="O538" s="43">
        <v>54.42</v>
      </c>
      <c r="Q538" s="45">
        <v>1.0999999999999999E-2</v>
      </c>
      <c r="R538" s="46">
        <v>437.82</v>
      </c>
    </row>
    <row r="539" spans="1:18" s="44" customFormat="1" ht="51" hidden="1" x14ac:dyDescent="0.2">
      <c r="A539" s="469" t="s">
        <v>356</v>
      </c>
      <c r="B539" s="445" t="s">
        <v>355</v>
      </c>
      <c r="C539" s="422">
        <v>1.8330000000000003E-2</v>
      </c>
      <c r="D539" s="422">
        <v>1</v>
      </c>
      <c r="E539" s="444">
        <f t="shared" si="132"/>
        <v>1.8330000000000003E-2</v>
      </c>
      <c r="F539" s="477">
        <v>19696.099999999999</v>
      </c>
      <c r="G539" s="477">
        <f t="shared" si="133"/>
        <v>16413.416666666668</v>
      </c>
      <c r="H539" s="422">
        <v>13.9777</v>
      </c>
      <c r="I539" s="416">
        <f t="shared" si="127"/>
        <v>229421.81</v>
      </c>
      <c r="J539" s="418">
        <f t="shared" si="131"/>
        <v>4205.3</v>
      </c>
      <c r="K539" s="419">
        <f t="shared" si="129"/>
        <v>841.06</v>
      </c>
      <c r="L539" s="437">
        <f t="shared" si="126"/>
        <v>5046.3599999999997</v>
      </c>
      <c r="M539" s="120"/>
      <c r="N539" s="102">
        <v>580.02383439583332</v>
      </c>
      <c r="O539" s="43">
        <v>1016.34</v>
      </c>
      <c r="Q539" s="45">
        <v>0.4</v>
      </c>
      <c r="R539" s="46" t="s">
        <v>371</v>
      </c>
    </row>
    <row r="540" spans="1:18" s="44" customFormat="1" ht="51" hidden="1" x14ac:dyDescent="0.2">
      <c r="A540" s="469" t="s">
        <v>357</v>
      </c>
      <c r="B540" s="423" t="s">
        <v>355</v>
      </c>
      <c r="C540" s="422">
        <v>7.0499999999999998E-3</v>
      </c>
      <c r="D540" s="422">
        <v>1</v>
      </c>
      <c r="E540" s="423">
        <f t="shared" si="132"/>
        <v>7.0499999999999998E-3</v>
      </c>
      <c r="F540" s="477">
        <v>437.82</v>
      </c>
      <c r="G540" s="477">
        <f t="shared" si="133"/>
        <v>364.85</v>
      </c>
      <c r="H540" s="422">
        <v>13.9777</v>
      </c>
      <c r="I540" s="416">
        <f t="shared" si="127"/>
        <v>5099.76</v>
      </c>
      <c r="J540" s="418">
        <f t="shared" si="131"/>
        <v>35.950000000000003</v>
      </c>
      <c r="K540" s="419">
        <f t="shared" si="129"/>
        <v>7.19</v>
      </c>
      <c r="L540" s="437">
        <f t="shared" si="126"/>
        <v>43.14</v>
      </c>
      <c r="M540" s="120"/>
      <c r="N540" s="102">
        <v>4656.0142620037504</v>
      </c>
      <c r="O540" s="43">
        <v>8158.4</v>
      </c>
      <c r="Q540" s="47" t="s">
        <v>384</v>
      </c>
      <c r="R540" s="46">
        <v>19696.099999999999</v>
      </c>
    </row>
    <row r="541" spans="1:18" s="44" customFormat="1" ht="153" hidden="1" x14ac:dyDescent="0.2">
      <c r="A541" s="469" t="s">
        <v>396</v>
      </c>
      <c r="B541" s="423" t="s">
        <v>354</v>
      </c>
      <c r="C541" s="422">
        <v>2.4E-2</v>
      </c>
      <c r="D541" s="422">
        <v>1</v>
      </c>
      <c r="E541" s="423">
        <f t="shared" si="132"/>
        <v>2.4E-2</v>
      </c>
      <c r="F541" s="477">
        <v>279.35000000000002</v>
      </c>
      <c r="G541" s="477">
        <f t="shared" si="133"/>
        <v>232.79166666666669</v>
      </c>
      <c r="H541" s="422">
        <v>13.9777</v>
      </c>
      <c r="I541" s="416">
        <f t="shared" si="127"/>
        <v>3253.89</v>
      </c>
      <c r="J541" s="418">
        <f t="shared" si="131"/>
        <v>78.09</v>
      </c>
      <c r="K541" s="419">
        <f t="shared" si="129"/>
        <v>15.62</v>
      </c>
      <c r="L541" s="437">
        <f t="shared" si="126"/>
        <v>93.71</v>
      </c>
      <c r="M541" s="120"/>
      <c r="N541" s="102">
        <v>39.802280576249998</v>
      </c>
      <c r="O541" s="43">
        <v>69.75</v>
      </c>
      <c r="Q541" s="45">
        <v>1.4E-2</v>
      </c>
      <c r="R541" s="46">
        <v>437.82</v>
      </c>
    </row>
    <row r="542" spans="1:18" s="44" customFormat="1" ht="51" hidden="1" x14ac:dyDescent="0.2">
      <c r="A542" s="469" t="s">
        <v>356</v>
      </c>
      <c r="B542" s="445" t="s">
        <v>355</v>
      </c>
      <c r="C542" s="422">
        <v>4.680000000000001E-3</v>
      </c>
      <c r="D542" s="422">
        <v>1</v>
      </c>
      <c r="E542" s="423">
        <f t="shared" si="132"/>
        <v>4.680000000000001E-3</v>
      </c>
      <c r="F542" s="477">
        <v>19696.099999999999</v>
      </c>
      <c r="G542" s="477">
        <f t="shared" si="133"/>
        <v>16413.416666666668</v>
      </c>
      <c r="H542" s="422">
        <v>13.9777</v>
      </c>
      <c r="I542" s="416">
        <f t="shared" si="127"/>
        <v>229421.81</v>
      </c>
      <c r="J542" s="418">
        <f t="shared" si="131"/>
        <v>1073.69</v>
      </c>
      <c r="K542" s="419">
        <f t="shared" si="129"/>
        <v>214.74</v>
      </c>
      <c r="L542" s="437">
        <f t="shared" si="126"/>
        <v>1288.43</v>
      </c>
      <c r="M542" s="120"/>
      <c r="N542" s="102">
        <v>86.462745499999997</v>
      </c>
      <c r="O542" s="43">
        <v>151.5</v>
      </c>
      <c r="Q542" s="45">
        <v>4.8000000000000001E-2</v>
      </c>
      <c r="R542" s="46" t="s">
        <v>371</v>
      </c>
    </row>
    <row r="543" spans="1:18" s="44" customFormat="1" ht="51" hidden="1" x14ac:dyDescent="0.2">
      <c r="A543" s="469" t="s">
        <v>357</v>
      </c>
      <c r="B543" s="423" t="s">
        <v>355</v>
      </c>
      <c r="C543" s="422">
        <v>1.8E-3</v>
      </c>
      <c r="D543" s="422">
        <v>1</v>
      </c>
      <c r="E543" s="423">
        <f t="shared" si="132"/>
        <v>1.8E-3</v>
      </c>
      <c r="F543" s="477">
        <v>437.82</v>
      </c>
      <c r="G543" s="477">
        <f t="shared" si="133"/>
        <v>364.85</v>
      </c>
      <c r="H543" s="422">
        <v>13.9777</v>
      </c>
      <c r="I543" s="416">
        <f t="shared" si="127"/>
        <v>5099.76</v>
      </c>
      <c r="J543" s="418">
        <f t="shared" si="131"/>
        <v>9.18</v>
      </c>
      <c r="K543" s="419">
        <f t="shared" si="129"/>
        <v>1.84</v>
      </c>
      <c r="L543" s="437">
        <f t="shared" si="126"/>
        <v>11.02</v>
      </c>
      <c r="M543" s="120"/>
      <c r="N543" s="102">
        <v>1188.7719392350002</v>
      </c>
      <c r="O543" s="43">
        <v>2083</v>
      </c>
      <c r="Q543" s="47" t="s">
        <v>385</v>
      </c>
      <c r="R543" s="46">
        <v>19696.099999999999</v>
      </c>
    </row>
    <row r="544" spans="1:18" s="44" customFormat="1" ht="76.5" hidden="1" x14ac:dyDescent="0.2">
      <c r="A544" s="469" t="s">
        <v>364</v>
      </c>
      <c r="B544" s="423" t="s">
        <v>354</v>
      </c>
      <c r="C544" s="422">
        <v>1.4E-2</v>
      </c>
      <c r="D544" s="422">
        <v>1</v>
      </c>
      <c r="E544" s="423">
        <f t="shared" si="132"/>
        <v>1.4E-2</v>
      </c>
      <c r="F544" s="477">
        <v>476.42</v>
      </c>
      <c r="G544" s="477">
        <f t="shared" si="133"/>
        <v>397.01666666666671</v>
      </c>
      <c r="H544" s="422">
        <v>13.9777</v>
      </c>
      <c r="I544" s="416">
        <f t="shared" si="127"/>
        <v>5549.38</v>
      </c>
      <c r="J544" s="418">
        <f t="shared" si="131"/>
        <v>77.69</v>
      </c>
      <c r="K544" s="419">
        <f t="shared" si="129"/>
        <v>15.54</v>
      </c>
      <c r="L544" s="437">
        <f t="shared" si="126"/>
        <v>93.23</v>
      </c>
      <c r="M544" s="120"/>
      <c r="N544" s="102">
        <v>10.159518445</v>
      </c>
      <c r="O544" s="43">
        <v>17.809999999999999</v>
      </c>
      <c r="Q544" s="45">
        <v>4.0000000000000001E-3</v>
      </c>
      <c r="R544" s="46">
        <v>437.82</v>
      </c>
    </row>
    <row r="545" spans="1:18" s="44" customFormat="1" ht="51" hidden="1" x14ac:dyDescent="0.2">
      <c r="A545" s="469" t="s">
        <v>356</v>
      </c>
      <c r="B545" s="445" t="s">
        <v>355</v>
      </c>
      <c r="C545" s="422">
        <v>2.9119999999999997E-2</v>
      </c>
      <c r="D545" s="422">
        <v>1</v>
      </c>
      <c r="E545" s="444">
        <f t="shared" si="132"/>
        <v>2.9119999999999997E-2</v>
      </c>
      <c r="F545" s="477">
        <v>19696.099999999999</v>
      </c>
      <c r="G545" s="477">
        <f t="shared" si="133"/>
        <v>16413.416666666668</v>
      </c>
      <c r="H545" s="422">
        <v>13.9777</v>
      </c>
      <c r="I545" s="416">
        <f t="shared" si="127"/>
        <v>229421.81</v>
      </c>
      <c r="J545" s="418">
        <f t="shared" si="131"/>
        <v>6680.76</v>
      </c>
      <c r="K545" s="419">
        <f t="shared" si="129"/>
        <v>1336.15</v>
      </c>
      <c r="L545" s="437">
        <f t="shared" si="126"/>
        <v>8016.91</v>
      </c>
      <c r="M545" s="120"/>
      <c r="N545" s="102">
        <v>86.021756183333338</v>
      </c>
      <c r="O545" s="43">
        <v>150.72</v>
      </c>
      <c r="Q545" s="45">
        <v>2.8000000000000001E-2</v>
      </c>
      <c r="R545" s="46" t="s">
        <v>372</v>
      </c>
    </row>
    <row r="546" spans="1:18" s="44" customFormat="1" ht="51" hidden="1" x14ac:dyDescent="0.2">
      <c r="A546" s="469" t="s">
        <v>357</v>
      </c>
      <c r="B546" s="423" t="s">
        <v>355</v>
      </c>
      <c r="C546" s="422">
        <v>1.12E-2</v>
      </c>
      <c r="D546" s="422">
        <v>1</v>
      </c>
      <c r="E546" s="423">
        <f t="shared" si="132"/>
        <v>1.12E-2</v>
      </c>
      <c r="F546" s="477">
        <v>437.82</v>
      </c>
      <c r="G546" s="477">
        <f t="shared" si="133"/>
        <v>364.85</v>
      </c>
      <c r="H546" s="422">
        <v>13.9777</v>
      </c>
      <c r="I546" s="416">
        <f t="shared" si="127"/>
        <v>5099.76</v>
      </c>
      <c r="J546" s="418">
        <f t="shared" si="131"/>
        <v>57.12</v>
      </c>
      <c r="K546" s="419">
        <f t="shared" si="129"/>
        <v>11.42</v>
      </c>
      <c r="L546" s="437">
        <f t="shared" si="126"/>
        <v>68.540000000000006</v>
      </c>
      <c r="M546" s="120"/>
      <c r="N546" s="102">
        <v>7396.7942885733328</v>
      </c>
      <c r="O546" s="43">
        <v>12960.86</v>
      </c>
      <c r="Q546" s="47" t="s">
        <v>386</v>
      </c>
      <c r="R546" s="46">
        <v>19696.099999999999</v>
      </c>
    </row>
    <row r="547" spans="1:18" s="44" customFormat="1" ht="216.75" hidden="1" x14ac:dyDescent="0.2">
      <c r="A547" s="469" t="s">
        <v>397</v>
      </c>
      <c r="B547" s="422" t="s">
        <v>411</v>
      </c>
      <c r="C547" s="422">
        <v>8.5999999999999993E-2</v>
      </c>
      <c r="D547" s="422">
        <v>1</v>
      </c>
      <c r="E547" s="423">
        <f t="shared" si="132"/>
        <v>8.5999999999999993E-2</v>
      </c>
      <c r="F547" s="477">
        <v>270.83999999999997</v>
      </c>
      <c r="G547" s="477">
        <f t="shared" si="133"/>
        <v>225.7</v>
      </c>
      <c r="H547" s="422">
        <v>13.9777</v>
      </c>
      <c r="I547" s="416">
        <f t="shared" si="127"/>
        <v>3154.77</v>
      </c>
      <c r="J547" s="418">
        <f t="shared" si="131"/>
        <v>271.31</v>
      </c>
      <c r="K547" s="419">
        <f t="shared" si="129"/>
        <v>54.26</v>
      </c>
      <c r="L547" s="437">
        <f t="shared" si="126"/>
        <v>325.57</v>
      </c>
      <c r="M547" s="120"/>
      <c r="N547" s="102">
        <v>63.239225879999999</v>
      </c>
      <c r="O547" s="43">
        <v>110.81</v>
      </c>
      <c r="Q547" s="45">
        <v>2.1999999999999999E-2</v>
      </c>
      <c r="R547" s="46">
        <v>437.82</v>
      </c>
    </row>
    <row r="548" spans="1:18" s="44" customFormat="1" ht="51" hidden="1" x14ac:dyDescent="0.2">
      <c r="A548" s="469" t="s">
        <v>356</v>
      </c>
      <c r="B548" s="445" t="s">
        <v>355</v>
      </c>
      <c r="C548" s="422">
        <v>5.5899999999999995E-3</v>
      </c>
      <c r="D548" s="422">
        <v>1</v>
      </c>
      <c r="E548" s="444">
        <f t="shared" si="132"/>
        <v>5.5899999999999995E-3</v>
      </c>
      <c r="F548" s="477">
        <v>19696.099999999999</v>
      </c>
      <c r="G548" s="477">
        <f t="shared" si="133"/>
        <v>16413.416666666668</v>
      </c>
      <c r="H548" s="422">
        <v>13.9777</v>
      </c>
      <c r="I548" s="416">
        <f t="shared" si="127"/>
        <v>229421.81</v>
      </c>
      <c r="J548" s="418">
        <f t="shared" si="131"/>
        <v>1282.47</v>
      </c>
      <c r="K548" s="419">
        <f t="shared" si="129"/>
        <v>256.49</v>
      </c>
      <c r="L548" s="437">
        <f t="shared" si="126"/>
        <v>1538.96</v>
      </c>
      <c r="M548" s="120"/>
      <c r="N548" s="102">
        <v>300.38364430000001</v>
      </c>
      <c r="O548" s="43">
        <v>526.35</v>
      </c>
      <c r="Q548" s="45">
        <v>0.17199999999999999</v>
      </c>
      <c r="R548" s="46" t="s">
        <v>373</v>
      </c>
    </row>
    <row r="549" spans="1:18" s="44" customFormat="1" ht="51" hidden="1" x14ac:dyDescent="0.2">
      <c r="A549" s="469" t="s">
        <v>357</v>
      </c>
      <c r="B549" s="423" t="s">
        <v>355</v>
      </c>
      <c r="C549" s="422">
        <v>2.15E-3</v>
      </c>
      <c r="D549" s="422">
        <v>1</v>
      </c>
      <c r="E549" s="423">
        <f t="shared" si="132"/>
        <v>2.15E-3</v>
      </c>
      <c r="F549" s="477">
        <v>437.82</v>
      </c>
      <c r="G549" s="477">
        <f t="shared" si="133"/>
        <v>364.85</v>
      </c>
      <c r="H549" s="422">
        <v>13.9777</v>
      </c>
      <c r="I549" s="416">
        <f t="shared" si="127"/>
        <v>5099.76</v>
      </c>
      <c r="J549" s="418">
        <f t="shared" si="131"/>
        <v>10.96</v>
      </c>
      <c r="K549" s="419">
        <f t="shared" si="129"/>
        <v>2.19</v>
      </c>
      <c r="L549" s="437">
        <f t="shared" si="126"/>
        <v>13.15</v>
      </c>
      <c r="M549" s="120"/>
      <c r="N549" s="102">
        <v>1419.9167607529166</v>
      </c>
      <c r="O549" s="43">
        <v>2488.02</v>
      </c>
      <c r="Q549" s="47" t="s">
        <v>387</v>
      </c>
      <c r="R549" s="46">
        <v>19696.099999999999</v>
      </c>
    </row>
    <row r="550" spans="1:18" s="44" customFormat="1" ht="242.25" hidden="1" x14ac:dyDescent="0.2">
      <c r="A550" s="469" t="s">
        <v>403</v>
      </c>
      <c r="B550" s="423" t="s">
        <v>77</v>
      </c>
      <c r="C550" s="422">
        <v>6.8000000000000005E-2</v>
      </c>
      <c r="D550" s="422">
        <v>1</v>
      </c>
      <c r="E550" s="423">
        <f t="shared" si="132"/>
        <v>6.8000000000000005E-2</v>
      </c>
      <c r="F550" s="477">
        <v>262.08</v>
      </c>
      <c r="G550" s="477">
        <f t="shared" si="133"/>
        <v>218.4</v>
      </c>
      <c r="H550" s="422">
        <v>13.9777</v>
      </c>
      <c r="I550" s="416">
        <f t="shared" si="127"/>
        <v>3052.73</v>
      </c>
      <c r="J550" s="418">
        <f t="shared" si="131"/>
        <v>207.59</v>
      </c>
      <c r="K550" s="419">
        <f t="shared" si="129"/>
        <v>41.52</v>
      </c>
      <c r="L550" s="437">
        <f t="shared" si="126"/>
        <v>249.11</v>
      </c>
      <c r="M550" s="120"/>
      <c r="N550" s="102">
        <v>12.136369253749999</v>
      </c>
      <c r="O550" s="43">
        <v>21.27</v>
      </c>
      <c r="Q550" s="45">
        <v>4.0000000000000001E-3</v>
      </c>
      <c r="R550" s="46">
        <v>437.82</v>
      </c>
    </row>
    <row r="551" spans="1:18" s="44" customFormat="1" ht="51" hidden="1" x14ac:dyDescent="0.2">
      <c r="A551" s="469" t="s">
        <v>356</v>
      </c>
      <c r="B551" s="445" t="s">
        <v>355</v>
      </c>
      <c r="C551" s="422">
        <v>4.4200000000000003E-3</v>
      </c>
      <c r="D551" s="422">
        <v>1</v>
      </c>
      <c r="E551" s="444">
        <f t="shared" si="132"/>
        <v>4.4200000000000003E-3</v>
      </c>
      <c r="F551" s="477">
        <v>19696.099999999999</v>
      </c>
      <c r="G551" s="477">
        <f t="shared" si="133"/>
        <v>16413.416666666668</v>
      </c>
      <c r="H551" s="422">
        <v>13.9777</v>
      </c>
      <c r="I551" s="416">
        <f t="shared" si="127"/>
        <v>229421.81</v>
      </c>
      <c r="J551" s="418">
        <f t="shared" si="131"/>
        <v>1014.04</v>
      </c>
      <c r="K551" s="419">
        <f t="shared" si="129"/>
        <v>202.81</v>
      </c>
      <c r="L551" s="437">
        <f t="shared" si="126"/>
        <v>1216.8499999999999</v>
      </c>
      <c r="M551" s="120"/>
      <c r="N551" s="102">
        <v>229.83850080000002</v>
      </c>
      <c r="O551" s="43">
        <v>402.72</v>
      </c>
      <c r="Q551" s="45">
        <v>0.13600000000000001</v>
      </c>
      <c r="R551" s="46" t="s">
        <v>374</v>
      </c>
    </row>
    <row r="552" spans="1:18" s="44" customFormat="1" ht="51" hidden="1" x14ac:dyDescent="0.2">
      <c r="A552" s="469" t="s">
        <v>357</v>
      </c>
      <c r="B552" s="423" t="s">
        <v>355</v>
      </c>
      <c r="C552" s="422">
        <v>1.6999999999999999E-3</v>
      </c>
      <c r="D552" s="422">
        <v>1</v>
      </c>
      <c r="E552" s="423">
        <f t="shared" si="132"/>
        <v>1.6999999999999999E-3</v>
      </c>
      <c r="F552" s="477">
        <v>437.82</v>
      </c>
      <c r="G552" s="477">
        <f t="shared" si="133"/>
        <v>364.85</v>
      </c>
      <c r="H552" s="422">
        <v>13.9777</v>
      </c>
      <c r="I552" s="416">
        <f t="shared" si="127"/>
        <v>5099.76</v>
      </c>
      <c r="J552" s="418">
        <f t="shared" si="131"/>
        <v>8.67</v>
      </c>
      <c r="K552" s="419">
        <f t="shared" si="129"/>
        <v>1.73</v>
      </c>
      <c r="L552" s="437">
        <f t="shared" si="126"/>
        <v>10.4</v>
      </c>
      <c r="M552" s="120"/>
      <c r="N552" s="102">
        <v>1122.7262759441669</v>
      </c>
      <c r="O552" s="43">
        <v>1967.27</v>
      </c>
      <c r="Q552" s="47" t="s">
        <v>388</v>
      </c>
      <c r="R552" s="46">
        <v>19696.099999999999</v>
      </c>
    </row>
    <row r="553" spans="1:18" s="44" customFormat="1" ht="204" hidden="1" x14ac:dyDescent="0.2">
      <c r="A553" s="469" t="s">
        <v>398</v>
      </c>
      <c r="B553" s="422" t="s">
        <v>411</v>
      </c>
      <c r="C553" s="422">
        <v>0.28499999999999998</v>
      </c>
      <c r="D553" s="422">
        <v>1</v>
      </c>
      <c r="E553" s="423">
        <f t="shared" si="132"/>
        <v>0.28499999999999998</v>
      </c>
      <c r="F553" s="477">
        <v>5543.17</v>
      </c>
      <c r="G553" s="477">
        <f t="shared" si="133"/>
        <v>4619.3083333333334</v>
      </c>
      <c r="H553" s="422">
        <v>13.9777</v>
      </c>
      <c r="I553" s="416">
        <f t="shared" si="127"/>
        <v>64567.31</v>
      </c>
      <c r="J553" s="418">
        <f t="shared" si="131"/>
        <v>18401.68</v>
      </c>
      <c r="K553" s="419">
        <f t="shared" si="129"/>
        <v>3680.34</v>
      </c>
      <c r="L553" s="437">
        <f t="shared" si="126"/>
        <v>22082.02</v>
      </c>
      <c r="M553" s="120"/>
      <c r="N553" s="102">
        <v>9.5989896424999994</v>
      </c>
      <c r="O553" s="43">
        <v>16.82</v>
      </c>
      <c r="Q553" s="45">
        <v>3.0000000000000001E-3</v>
      </c>
      <c r="R553" s="46">
        <v>437.82</v>
      </c>
    </row>
    <row r="554" spans="1:18" s="44" customFormat="1" ht="51" hidden="1" x14ac:dyDescent="0.2">
      <c r="A554" s="469" t="s">
        <v>356</v>
      </c>
      <c r="B554" s="445" t="s">
        <v>355</v>
      </c>
      <c r="C554" s="422">
        <v>1.8525000000000003E-2</v>
      </c>
      <c r="D554" s="422">
        <v>1</v>
      </c>
      <c r="E554" s="444">
        <f t="shared" si="132"/>
        <v>1.8525000000000003E-2</v>
      </c>
      <c r="F554" s="477">
        <v>19696.099999999999</v>
      </c>
      <c r="G554" s="477">
        <f t="shared" si="133"/>
        <v>16413.416666666668</v>
      </c>
      <c r="H554" s="422">
        <v>13.9777</v>
      </c>
      <c r="I554" s="416">
        <f t="shared" si="127"/>
        <v>229421.81</v>
      </c>
      <c r="J554" s="418">
        <f t="shared" si="131"/>
        <v>4250.04</v>
      </c>
      <c r="K554" s="419">
        <f t="shared" si="129"/>
        <v>850.01</v>
      </c>
      <c r="L554" s="437">
        <f t="shared" si="126"/>
        <v>5100.05</v>
      </c>
      <c r="M554" s="120"/>
      <c r="N554" s="102">
        <v>20373.9393274375</v>
      </c>
      <c r="O554" s="43">
        <v>35699.769999999997</v>
      </c>
      <c r="Q554" s="45">
        <v>0.56999999999999995</v>
      </c>
      <c r="R554" s="46" t="s">
        <v>375</v>
      </c>
    </row>
    <row r="555" spans="1:18" s="44" customFormat="1" ht="38.25" hidden="1" x14ac:dyDescent="0.2">
      <c r="A555" s="469" t="s">
        <v>359</v>
      </c>
      <c r="B555" s="423" t="s">
        <v>355</v>
      </c>
      <c r="C555" s="422">
        <v>7.1250000000000003E-3</v>
      </c>
      <c r="D555" s="422">
        <v>1</v>
      </c>
      <c r="E555" s="444">
        <f t="shared" si="132"/>
        <v>7.1250000000000003E-3</v>
      </c>
      <c r="F555" s="477">
        <v>437.82</v>
      </c>
      <c r="G555" s="477">
        <f t="shared" si="133"/>
        <v>364.85</v>
      </c>
      <c r="H555" s="422">
        <v>13.9777</v>
      </c>
      <c r="I555" s="416">
        <f t="shared" si="127"/>
        <v>5099.76</v>
      </c>
      <c r="J555" s="418">
        <f t="shared" si="131"/>
        <v>36.340000000000003</v>
      </c>
      <c r="K555" s="419">
        <f t="shared" si="129"/>
        <v>7.27</v>
      </c>
      <c r="L555" s="437">
        <f>ROUND(J555+K555,2)</f>
        <v>43.61</v>
      </c>
      <c r="M555" s="120"/>
      <c r="N555" s="102">
        <v>4705.5510094718757</v>
      </c>
      <c r="O555" s="43">
        <v>8245.19</v>
      </c>
      <c r="Q555" s="47" t="s">
        <v>390</v>
      </c>
      <c r="R555" s="46">
        <v>19696.099999999999</v>
      </c>
    </row>
    <row r="556" spans="1:18" s="44" customFormat="1" ht="127.5" hidden="1" x14ac:dyDescent="0.2">
      <c r="A556" s="469" t="s">
        <v>399</v>
      </c>
      <c r="B556" s="422" t="s">
        <v>411</v>
      </c>
      <c r="C556" s="422">
        <v>7.4999999999999997E-2</v>
      </c>
      <c r="D556" s="422">
        <v>1</v>
      </c>
      <c r="E556" s="423">
        <f t="shared" si="132"/>
        <v>7.4999999999999997E-2</v>
      </c>
      <c r="F556" s="477">
        <v>218.4</v>
      </c>
      <c r="G556" s="477">
        <f t="shared" si="133"/>
        <v>182</v>
      </c>
      <c r="H556" s="422">
        <v>13.9777</v>
      </c>
      <c r="I556" s="416">
        <f t="shared" si="127"/>
        <v>2543.94</v>
      </c>
      <c r="J556" s="418">
        <f t="shared" si="131"/>
        <v>190.8</v>
      </c>
      <c r="K556" s="419">
        <f t="shared" si="129"/>
        <v>38.159999999999997</v>
      </c>
      <c r="L556" s="437">
        <f>ROUND(J556+K556,2)</f>
        <v>228.96</v>
      </c>
      <c r="M556" s="120"/>
      <c r="N556" s="102">
        <v>40.235177178124999</v>
      </c>
      <c r="O556" s="43">
        <v>70.489999999999995</v>
      </c>
      <c r="Q556" s="45">
        <v>1.4E-2</v>
      </c>
      <c r="R556" s="46">
        <v>437.82</v>
      </c>
    </row>
    <row r="557" spans="1:18" s="44" customFormat="1" ht="51" hidden="1" x14ac:dyDescent="0.2">
      <c r="A557" s="469" t="s">
        <v>356</v>
      </c>
      <c r="B557" s="445" t="s">
        <v>355</v>
      </c>
      <c r="C557" s="422">
        <v>4.875E-3</v>
      </c>
      <c r="D557" s="422">
        <v>1</v>
      </c>
      <c r="E557" s="444">
        <f t="shared" si="132"/>
        <v>4.875E-3</v>
      </c>
      <c r="F557" s="477">
        <v>19696.099999999999</v>
      </c>
      <c r="G557" s="477">
        <f t="shared" si="133"/>
        <v>16413.416666666668</v>
      </c>
      <c r="H557" s="422">
        <v>13.9777</v>
      </c>
      <c r="I557" s="416">
        <f t="shared" si="127"/>
        <v>229421.81</v>
      </c>
      <c r="J557" s="418">
        <f t="shared" si="131"/>
        <v>1118.43</v>
      </c>
      <c r="K557" s="419">
        <f t="shared" si="129"/>
        <v>223.69</v>
      </c>
      <c r="L557" s="437">
        <f>ROUND(J557+K557,2)</f>
        <v>1342.12</v>
      </c>
      <c r="M557" s="120"/>
      <c r="N557" s="102">
        <v>211.24722500000001</v>
      </c>
      <c r="O557" s="43">
        <v>370.15</v>
      </c>
      <c r="Q557" s="47" t="s">
        <v>391</v>
      </c>
      <c r="R557" s="46" t="s">
        <v>376</v>
      </c>
    </row>
    <row r="558" spans="1:18" s="44" customFormat="1" ht="38.25" hidden="1" x14ac:dyDescent="0.2">
      <c r="A558" s="469" t="s">
        <v>359</v>
      </c>
      <c r="B558" s="423" t="s">
        <v>355</v>
      </c>
      <c r="C558" s="422">
        <v>1.8749999999999999E-3</v>
      </c>
      <c r="D558" s="422">
        <v>1</v>
      </c>
      <c r="E558" s="444">
        <f t="shared" si="132"/>
        <v>1.8749999999999999E-3</v>
      </c>
      <c r="F558" s="477">
        <v>437.82</v>
      </c>
      <c r="G558" s="477">
        <f t="shared" si="133"/>
        <v>364.85</v>
      </c>
      <c r="H558" s="422">
        <v>13.9777</v>
      </c>
      <c r="I558" s="416">
        <f t="shared" si="127"/>
        <v>5099.76</v>
      </c>
      <c r="J558" s="418">
        <f t="shared" si="131"/>
        <v>9.56</v>
      </c>
      <c r="K558" s="419">
        <f t="shared" si="129"/>
        <v>1.91</v>
      </c>
      <c r="L558" s="437">
        <f>ROUND(J558+K558,2)</f>
        <v>11.47</v>
      </c>
      <c r="M558" s="120"/>
      <c r="N558" s="102">
        <v>1238.298686703125</v>
      </c>
      <c r="O558" s="43">
        <v>2169.79</v>
      </c>
      <c r="Q558" s="47" t="s">
        <v>392</v>
      </c>
      <c r="R558" s="46">
        <v>19696.099999999999</v>
      </c>
    </row>
    <row r="559" spans="1:18" s="44" customFormat="1" ht="63.75" hidden="1" x14ac:dyDescent="0.2">
      <c r="A559" s="70" t="s">
        <v>62</v>
      </c>
      <c r="B559" s="229"/>
      <c r="C559" s="229"/>
      <c r="D559" s="229"/>
      <c r="E559" s="229"/>
      <c r="F559" s="229"/>
      <c r="G559" s="477"/>
      <c r="H559" s="422"/>
      <c r="I559" s="416">
        <f t="shared" si="127"/>
        <v>0</v>
      </c>
      <c r="J559" s="418">
        <f t="shared" si="131"/>
        <v>0</v>
      </c>
      <c r="K559" s="419"/>
      <c r="L559" s="437"/>
      <c r="M559" s="121"/>
      <c r="N559" s="102">
        <v>10.582415046874999</v>
      </c>
      <c r="O559" s="43">
        <v>18.55</v>
      </c>
      <c r="P559" s="49"/>
      <c r="Q559" s="45">
        <v>4.0000000000000001E-3</v>
      </c>
      <c r="R559" s="46">
        <v>437.82</v>
      </c>
    </row>
    <row r="560" spans="1:18" s="20" customFormat="1" ht="165.75" hidden="1" x14ac:dyDescent="0.2">
      <c r="A560" s="469" t="s">
        <v>361</v>
      </c>
      <c r="B560" s="423" t="s">
        <v>354</v>
      </c>
      <c r="C560" s="423">
        <v>0.11</v>
      </c>
      <c r="D560" s="422">
        <v>1</v>
      </c>
      <c r="E560" s="422">
        <f t="shared" ref="E560:E571" si="134">D560*C560</f>
        <v>0.11</v>
      </c>
      <c r="F560" s="422">
        <v>279.35000000000002</v>
      </c>
      <c r="G560" s="477">
        <f t="shared" si="133"/>
        <v>232.79166666666669</v>
      </c>
      <c r="H560" s="422">
        <v>13.9777</v>
      </c>
      <c r="I560" s="416">
        <f t="shared" si="127"/>
        <v>3253.89</v>
      </c>
      <c r="J560" s="418">
        <f t="shared" si="131"/>
        <v>357.93</v>
      </c>
      <c r="K560" s="419">
        <f t="shared" si="129"/>
        <v>71.59</v>
      </c>
      <c r="L560" s="437">
        <f t="shared" ref="L560:L571" si="135">ROUND(J560+K560,2)</f>
        <v>429.52</v>
      </c>
      <c r="M560" s="121"/>
      <c r="N560" s="103">
        <v>0</v>
      </c>
      <c r="O560" s="87">
        <v>103462.2</v>
      </c>
      <c r="P560" s="22" t="s">
        <v>369</v>
      </c>
      <c r="Q560" s="22"/>
      <c r="R560" s="22"/>
    </row>
    <row r="561" spans="1:18" s="20" customFormat="1" ht="51" hidden="1" x14ac:dyDescent="0.2">
      <c r="A561" s="469" t="s">
        <v>356</v>
      </c>
      <c r="B561" s="445" t="s">
        <v>355</v>
      </c>
      <c r="C561" s="445">
        <v>7.1500000000000001E-3</v>
      </c>
      <c r="D561" s="422">
        <v>1</v>
      </c>
      <c r="E561" s="422">
        <f t="shared" si="134"/>
        <v>7.1500000000000001E-3</v>
      </c>
      <c r="F561" s="422">
        <v>19696.099999999999</v>
      </c>
      <c r="G561" s="477">
        <f t="shared" si="133"/>
        <v>16413.416666666668</v>
      </c>
      <c r="H561" s="422">
        <v>13.9777</v>
      </c>
      <c r="I561" s="416">
        <f t="shared" si="127"/>
        <v>229421.81</v>
      </c>
      <c r="J561" s="418">
        <f t="shared" si="131"/>
        <v>1640.37</v>
      </c>
      <c r="K561" s="419">
        <f t="shared" si="129"/>
        <v>328.07</v>
      </c>
      <c r="L561" s="437">
        <f t="shared" si="135"/>
        <v>1968.44</v>
      </c>
      <c r="M561" s="121"/>
      <c r="N561" s="111">
        <v>396.29175020833333</v>
      </c>
      <c r="O561" s="42">
        <v>694.39</v>
      </c>
      <c r="P561" s="50">
        <f>SUM(L517:L558)</f>
        <v>127992.68000000002</v>
      </c>
      <c r="Q561" s="51"/>
      <c r="R561" s="22"/>
    </row>
    <row r="562" spans="1:18" s="20" customFormat="1" ht="51" hidden="1" x14ac:dyDescent="0.2">
      <c r="A562" s="469" t="s">
        <v>357</v>
      </c>
      <c r="B562" s="423" t="s">
        <v>355</v>
      </c>
      <c r="C562" s="423">
        <v>2.7500000000000003E-3</v>
      </c>
      <c r="D562" s="422">
        <v>1</v>
      </c>
      <c r="E562" s="422">
        <f t="shared" si="134"/>
        <v>2.7500000000000003E-3</v>
      </c>
      <c r="F562" s="422">
        <v>437.82</v>
      </c>
      <c r="G562" s="477">
        <f t="shared" si="133"/>
        <v>364.85</v>
      </c>
      <c r="H562" s="422">
        <v>13.9777</v>
      </c>
      <c r="I562" s="416">
        <f t="shared" si="127"/>
        <v>5099.76</v>
      </c>
      <c r="J562" s="418">
        <f t="shared" si="131"/>
        <v>14.02</v>
      </c>
      <c r="K562" s="419">
        <f t="shared" si="129"/>
        <v>2.8</v>
      </c>
      <c r="L562" s="437">
        <f t="shared" si="135"/>
        <v>16.82</v>
      </c>
      <c r="M562" s="121"/>
      <c r="N562" s="111">
        <v>1816.1807404979168</v>
      </c>
      <c r="O562" s="42">
        <v>3182.35</v>
      </c>
      <c r="P562" s="52">
        <v>6.5000000000000002E-2</v>
      </c>
      <c r="Q562" s="52"/>
      <c r="R562" s="22"/>
    </row>
    <row r="563" spans="1:18" s="20" customFormat="1" ht="178.5" hidden="1" x14ac:dyDescent="0.2">
      <c r="A563" s="469" t="s">
        <v>362</v>
      </c>
      <c r="B563" s="423" t="s">
        <v>354</v>
      </c>
      <c r="C563" s="423">
        <v>0.3</v>
      </c>
      <c r="D563" s="422">
        <v>1</v>
      </c>
      <c r="E563" s="422">
        <f t="shared" si="134"/>
        <v>0.3</v>
      </c>
      <c r="F563" s="422">
        <v>279.35000000000002</v>
      </c>
      <c r="G563" s="477">
        <f t="shared" si="133"/>
        <v>232.79166666666669</v>
      </c>
      <c r="H563" s="422">
        <v>13.9777</v>
      </c>
      <c r="I563" s="416">
        <f t="shared" si="127"/>
        <v>3253.89</v>
      </c>
      <c r="J563" s="418">
        <f t="shared" si="131"/>
        <v>976.17</v>
      </c>
      <c r="K563" s="419">
        <f t="shared" si="129"/>
        <v>195.23</v>
      </c>
      <c r="L563" s="437">
        <f t="shared" si="135"/>
        <v>1171.4000000000001</v>
      </c>
      <c r="M563" s="121"/>
      <c r="N563" s="111">
        <v>15.529542068750001</v>
      </c>
      <c r="O563" s="42">
        <v>27.21</v>
      </c>
      <c r="P563" s="36">
        <v>2.5000000000000001E-4</v>
      </c>
      <c r="Q563" s="52">
        <v>100</v>
      </c>
      <c r="R563" s="22"/>
    </row>
    <row r="564" spans="1:18" s="20" customFormat="1" ht="51" hidden="1" x14ac:dyDescent="0.2">
      <c r="A564" s="469" t="s">
        <v>356</v>
      </c>
      <c r="B564" s="445" t="s">
        <v>355</v>
      </c>
      <c r="C564" s="445">
        <v>1.4624999999999999E-2</v>
      </c>
      <c r="D564" s="422">
        <v>1</v>
      </c>
      <c r="E564" s="417">
        <f t="shared" si="134"/>
        <v>1.4624999999999999E-2</v>
      </c>
      <c r="F564" s="422">
        <v>19696.099999999999</v>
      </c>
      <c r="G564" s="477">
        <f t="shared" si="133"/>
        <v>16413.416666666668</v>
      </c>
      <c r="H564" s="422">
        <v>13.9777</v>
      </c>
      <c r="I564" s="416">
        <f t="shared" si="127"/>
        <v>229421.81</v>
      </c>
      <c r="J564" s="418">
        <f t="shared" si="131"/>
        <v>3355.29</v>
      </c>
      <c r="K564" s="419">
        <f t="shared" si="129"/>
        <v>671.06</v>
      </c>
      <c r="L564" s="437">
        <f t="shared" si="135"/>
        <v>4026.35</v>
      </c>
      <c r="M564" s="121"/>
      <c r="N564" s="111">
        <v>1080.7893187499999</v>
      </c>
      <c r="O564" s="42">
        <v>1893.79</v>
      </c>
      <c r="P564" s="52"/>
      <c r="Q564" s="52"/>
      <c r="R564" s="22"/>
    </row>
    <row r="565" spans="1:18" s="20" customFormat="1" ht="38.25" hidden="1" x14ac:dyDescent="0.2">
      <c r="A565" s="469" t="s">
        <v>359</v>
      </c>
      <c r="B565" s="423" t="s">
        <v>355</v>
      </c>
      <c r="C565" s="423">
        <v>5.6249999999999998E-3</v>
      </c>
      <c r="D565" s="422">
        <v>1</v>
      </c>
      <c r="E565" s="417">
        <f t="shared" si="134"/>
        <v>5.6249999999999998E-3</v>
      </c>
      <c r="F565" s="422">
        <v>437.82</v>
      </c>
      <c r="G565" s="477">
        <f t="shared" si="133"/>
        <v>364.85</v>
      </c>
      <c r="H565" s="422">
        <v>13.9777</v>
      </c>
      <c r="I565" s="416">
        <f t="shared" si="127"/>
        <v>5099.76</v>
      </c>
      <c r="J565" s="418">
        <f t="shared" si="131"/>
        <v>28.69</v>
      </c>
      <c r="K565" s="419">
        <f t="shared" si="129"/>
        <v>5.74</v>
      </c>
      <c r="L565" s="437">
        <f t="shared" si="135"/>
        <v>34.43</v>
      </c>
      <c r="M565" s="121"/>
      <c r="N565" s="111">
        <v>3714.9060601093752</v>
      </c>
      <c r="O565" s="42">
        <v>6509.36</v>
      </c>
      <c r="P565" s="52">
        <v>3.15E-2</v>
      </c>
      <c r="Q565" s="52"/>
      <c r="R565" s="22">
        <f>C565/0.25*0.65</f>
        <v>1.4624999999999999E-2</v>
      </c>
    </row>
    <row r="566" spans="1:18" s="20" customFormat="1" ht="76.5" hidden="1" x14ac:dyDescent="0.2">
      <c r="A566" s="469" t="s">
        <v>364</v>
      </c>
      <c r="B566" s="423" t="s">
        <v>354</v>
      </c>
      <c r="C566" s="423">
        <v>1.7000000000000001E-2</v>
      </c>
      <c r="D566" s="422">
        <v>1</v>
      </c>
      <c r="E566" s="422">
        <f t="shared" si="134"/>
        <v>1.7000000000000001E-2</v>
      </c>
      <c r="F566" s="422">
        <v>476.42</v>
      </c>
      <c r="G566" s="477">
        <f t="shared" si="133"/>
        <v>397.01666666666671</v>
      </c>
      <c r="H566" s="422">
        <v>13.9777</v>
      </c>
      <c r="I566" s="416">
        <f t="shared" si="127"/>
        <v>5549.38</v>
      </c>
      <c r="J566" s="418">
        <f t="shared" si="131"/>
        <v>94.34</v>
      </c>
      <c r="K566" s="419">
        <f t="shared" si="129"/>
        <v>18.87</v>
      </c>
      <c r="L566" s="437">
        <f t="shared" si="135"/>
        <v>113.21</v>
      </c>
      <c r="M566" s="121"/>
      <c r="N566" s="111">
        <v>31.757245140624999</v>
      </c>
      <c r="O566" s="42">
        <v>55.65</v>
      </c>
      <c r="P566" s="36">
        <v>2.5000000000000001E-4</v>
      </c>
      <c r="Q566" s="52">
        <v>75</v>
      </c>
      <c r="R566" s="22"/>
    </row>
    <row r="567" spans="1:18" s="20" customFormat="1" ht="38.25" hidden="1" x14ac:dyDescent="0.2">
      <c r="A567" s="469" t="s">
        <v>358</v>
      </c>
      <c r="B567" s="445" t="s">
        <v>355</v>
      </c>
      <c r="C567" s="445">
        <v>3.5360000000000009E-2</v>
      </c>
      <c r="D567" s="422">
        <v>1</v>
      </c>
      <c r="E567" s="417">
        <f t="shared" si="134"/>
        <v>3.5360000000000009E-2</v>
      </c>
      <c r="F567" s="422">
        <v>19696.099999999999</v>
      </c>
      <c r="G567" s="477">
        <f t="shared" si="133"/>
        <v>16413.416666666668</v>
      </c>
      <c r="H567" s="422">
        <v>13.9777</v>
      </c>
      <c r="I567" s="416">
        <f t="shared" si="127"/>
        <v>229421.81</v>
      </c>
      <c r="J567" s="418">
        <f t="shared" si="131"/>
        <v>8112.36</v>
      </c>
      <c r="K567" s="419">
        <f t="shared" si="129"/>
        <v>1622.47</v>
      </c>
      <c r="L567" s="437">
        <f t="shared" si="135"/>
        <v>9734.83</v>
      </c>
      <c r="M567" s="121"/>
      <c r="N567" s="111">
        <v>104.45213250833335</v>
      </c>
      <c r="O567" s="42">
        <v>183.02</v>
      </c>
      <c r="P567" s="52"/>
      <c r="Q567" s="52"/>
      <c r="R567" s="22"/>
    </row>
    <row r="568" spans="1:18" s="20" customFormat="1" ht="51" hidden="1" x14ac:dyDescent="0.2">
      <c r="A568" s="469" t="s">
        <v>357</v>
      </c>
      <c r="B568" s="423" t="s">
        <v>355</v>
      </c>
      <c r="C568" s="423">
        <v>1.3600000000000003E-2</v>
      </c>
      <c r="D568" s="422">
        <v>1</v>
      </c>
      <c r="E568" s="422">
        <f t="shared" si="134"/>
        <v>1.3600000000000003E-2</v>
      </c>
      <c r="F568" s="422">
        <v>437.82</v>
      </c>
      <c r="G568" s="477">
        <f t="shared" si="133"/>
        <v>364.85</v>
      </c>
      <c r="H568" s="422">
        <v>13.9777</v>
      </c>
      <c r="I568" s="416">
        <f t="shared" si="127"/>
        <v>5099.76</v>
      </c>
      <c r="J568" s="418">
        <f t="shared" si="131"/>
        <v>69.36</v>
      </c>
      <c r="K568" s="419">
        <f t="shared" si="129"/>
        <v>13.87</v>
      </c>
      <c r="L568" s="437">
        <f t="shared" si="135"/>
        <v>83.23</v>
      </c>
      <c r="M568" s="121"/>
      <c r="N568" s="111">
        <v>8981.8202075533354</v>
      </c>
      <c r="O568" s="42">
        <v>15738.19</v>
      </c>
      <c r="P568" s="52">
        <v>0.33600000000000002</v>
      </c>
      <c r="Q568" s="52"/>
      <c r="R568" s="22">
        <f>C568/0.25*0.65</f>
        <v>3.5360000000000009E-2</v>
      </c>
    </row>
    <row r="569" spans="1:18" s="20" customFormat="1" ht="242.25" hidden="1" x14ac:dyDescent="0.2">
      <c r="A569" s="469" t="s">
        <v>366</v>
      </c>
      <c r="B569" s="445" t="s">
        <v>411</v>
      </c>
      <c r="C569" s="445">
        <v>0.43319999999999997</v>
      </c>
      <c r="D569" s="422">
        <v>1</v>
      </c>
      <c r="E569" s="422">
        <f t="shared" si="134"/>
        <v>0.43319999999999997</v>
      </c>
      <c r="F569" s="422">
        <v>262.08</v>
      </c>
      <c r="G569" s="477">
        <f t="shared" si="133"/>
        <v>218.4</v>
      </c>
      <c r="H569" s="422">
        <v>13.9777</v>
      </c>
      <c r="I569" s="416">
        <f t="shared" ref="I569:I578" si="136">ROUND(G569*H569,2)</f>
        <v>3052.73</v>
      </c>
      <c r="J569" s="418">
        <f t="shared" si="131"/>
        <v>1322.44</v>
      </c>
      <c r="K569" s="419">
        <f t="shared" ref="K569:K578" si="137">ROUND(J569*0.2,2)</f>
        <v>264.49</v>
      </c>
      <c r="L569" s="437">
        <f t="shared" si="135"/>
        <v>1586.93</v>
      </c>
      <c r="M569" s="121"/>
      <c r="N569" s="111">
        <v>76.79191714000001</v>
      </c>
      <c r="O569" s="42">
        <v>134.55000000000001</v>
      </c>
      <c r="P569" s="36">
        <v>2.5000000000000001E-4</v>
      </c>
      <c r="Q569" s="52">
        <v>3200</v>
      </c>
      <c r="R569" s="22"/>
    </row>
    <row r="570" spans="1:18" s="20" customFormat="1" ht="51" hidden="1" x14ac:dyDescent="0.2">
      <c r="A570" s="469" t="s">
        <v>356</v>
      </c>
      <c r="B570" s="445" t="s">
        <v>355</v>
      </c>
      <c r="C570" s="447">
        <v>2.8157999999999999E-2</v>
      </c>
      <c r="D570" s="422">
        <v>1</v>
      </c>
      <c r="E570" s="417">
        <f t="shared" si="134"/>
        <v>2.8157999999999999E-2</v>
      </c>
      <c r="F570" s="422">
        <v>19696.099999999999</v>
      </c>
      <c r="G570" s="477">
        <f t="shared" si="133"/>
        <v>16413.416666666668</v>
      </c>
      <c r="H570" s="422">
        <v>13.9777</v>
      </c>
      <c r="I570" s="416">
        <f t="shared" si="136"/>
        <v>229421.81</v>
      </c>
      <c r="J570" s="418">
        <f t="shared" si="131"/>
        <v>6460.06</v>
      </c>
      <c r="K570" s="419">
        <f t="shared" si="137"/>
        <v>1292.01</v>
      </c>
      <c r="L570" s="437">
        <f t="shared" si="135"/>
        <v>7752.07</v>
      </c>
      <c r="M570" s="121"/>
      <c r="N570" s="111">
        <v>1464.1792139199999</v>
      </c>
      <c r="O570" s="42">
        <v>2565.58</v>
      </c>
      <c r="P570" s="52"/>
      <c r="Q570" s="52"/>
      <c r="R570" s="22"/>
    </row>
    <row r="571" spans="1:18" s="20" customFormat="1" ht="51" hidden="1" x14ac:dyDescent="0.2">
      <c r="A571" s="469" t="s">
        <v>357</v>
      </c>
      <c r="B571" s="423" t="s">
        <v>355</v>
      </c>
      <c r="C571" s="423">
        <v>1.0829999999999999E-2</v>
      </c>
      <c r="D571" s="422">
        <v>1</v>
      </c>
      <c r="E571" s="417">
        <f t="shared" si="134"/>
        <v>1.0829999999999999E-2</v>
      </c>
      <c r="F571" s="422">
        <v>437.82</v>
      </c>
      <c r="G571" s="477">
        <f t="shared" si="133"/>
        <v>364.85</v>
      </c>
      <c r="H571" s="422">
        <v>13.9777</v>
      </c>
      <c r="I571" s="416">
        <f t="shared" si="136"/>
        <v>5099.76</v>
      </c>
      <c r="J571" s="418">
        <f t="shared" si="131"/>
        <v>55.23</v>
      </c>
      <c r="K571" s="419">
        <f t="shared" si="137"/>
        <v>11.05</v>
      </c>
      <c r="L571" s="437">
        <f t="shared" si="135"/>
        <v>66.28</v>
      </c>
      <c r="M571" s="121"/>
      <c r="N571" s="111">
        <v>7152.4323343972492</v>
      </c>
      <c r="O571" s="42">
        <v>12532.69</v>
      </c>
      <c r="P571" s="52">
        <v>7.8E-2</v>
      </c>
      <c r="Q571" s="52"/>
      <c r="R571" s="22">
        <f>C571/0.25*0.65</f>
        <v>2.8157999999999999E-2</v>
      </c>
    </row>
    <row r="572" spans="1:18" s="20" customFormat="1" ht="76.5" hidden="1" x14ac:dyDescent="0.2">
      <c r="A572" s="478" t="s">
        <v>63</v>
      </c>
      <c r="B572" s="217"/>
      <c r="C572" s="217"/>
      <c r="D572" s="217"/>
      <c r="E572" s="217"/>
      <c r="F572" s="217"/>
      <c r="G572" s="477"/>
      <c r="H572" s="422"/>
      <c r="I572" s="416"/>
      <c r="J572" s="418"/>
      <c r="K572" s="419"/>
      <c r="L572" s="437"/>
      <c r="M572" s="121"/>
      <c r="N572" s="111">
        <v>61.148269310749995</v>
      </c>
      <c r="O572" s="42">
        <v>107.15</v>
      </c>
      <c r="P572" s="36">
        <v>2.5000000000000001E-4</v>
      </c>
      <c r="Q572" s="52">
        <v>100</v>
      </c>
      <c r="R572" s="22"/>
    </row>
    <row r="573" spans="1:18" s="20" customFormat="1" ht="153" hidden="1" x14ac:dyDescent="0.2">
      <c r="A573" s="469" t="s">
        <v>368</v>
      </c>
      <c r="B573" s="423" t="s">
        <v>354</v>
      </c>
      <c r="C573" s="422">
        <v>0.2</v>
      </c>
      <c r="D573" s="422">
        <v>1</v>
      </c>
      <c r="E573" s="423">
        <f t="shared" ref="E573:E578" si="138">C573*D573</f>
        <v>0.2</v>
      </c>
      <c r="F573" s="422">
        <v>279.35000000000002</v>
      </c>
      <c r="G573" s="477">
        <f t="shared" si="133"/>
        <v>232.79166666666669</v>
      </c>
      <c r="H573" s="422">
        <v>13.9777</v>
      </c>
      <c r="I573" s="416">
        <f t="shared" si="136"/>
        <v>3253.89</v>
      </c>
      <c r="J573" s="418">
        <f t="shared" si="131"/>
        <v>650.78</v>
      </c>
      <c r="K573" s="419">
        <f t="shared" si="137"/>
        <v>130.16</v>
      </c>
      <c r="L573" s="437">
        <f t="shared" ref="L573:L578" si="139">ROUND(J573+K573,2)</f>
        <v>780.94</v>
      </c>
      <c r="M573" s="121"/>
      <c r="N573" s="103"/>
      <c r="O573" s="85">
        <v>21811.99</v>
      </c>
      <c r="P573" s="19">
        <f>L560+L561+L562+L563+L564+L565+L566+L567+L568+L569+L570+L571</f>
        <v>26983.51</v>
      </c>
      <c r="Q573" s="22"/>
      <c r="R573" s="22"/>
    </row>
    <row r="574" spans="1:18" s="20" customFormat="1" ht="51" hidden="1" x14ac:dyDescent="0.2">
      <c r="A574" s="469" t="s">
        <v>356</v>
      </c>
      <c r="B574" s="445" t="s">
        <v>355</v>
      </c>
      <c r="C574" s="422">
        <v>1.2999999999999999E-2</v>
      </c>
      <c r="D574" s="422">
        <v>1</v>
      </c>
      <c r="E574" s="423">
        <f t="shared" si="138"/>
        <v>1.2999999999999999E-2</v>
      </c>
      <c r="F574" s="422">
        <v>19696.099999999999</v>
      </c>
      <c r="G574" s="477">
        <f t="shared" si="133"/>
        <v>16413.416666666668</v>
      </c>
      <c r="H574" s="422">
        <v>13.9777</v>
      </c>
      <c r="I574" s="416">
        <f t="shared" si="136"/>
        <v>229421.81</v>
      </c>
      <c r="J574" s="418">
        <f t="shared" si="131"/>
        <v>2982.48</v>
      </c>
      <c r="K574" s="419">
        <f t="shared" si="137"/>
        <v>596.5</v>
      </c>
      <c r="L574" s="437">
        <f t="shared" si="139"/>
        <v>3578.98</v>
      </c>
      <c r="M574" s="121"/>
      <c r="N574" s="111">
        <v>720.52954583333337</v>
      </c>
      <c r="O574" s="42">
        <v>1262.53</v>
      </c>
      <c r="P574" s="51"/>
      <c r="Q574" s="22"/>
      <c r="R574" s="22"/>
    </row>
    <row r="575" spans="1:18" s="20" customFormat="1" ht="51" hidden="1" x14ac:dyDescent="0.2">
      <c r="A575" s="469" t="s">
        <v>357</v>
      </c>
      <c r="B575" s="423" t="s">
        <v>355</v>
      </c>
      <c r="C575" s="422">
        <v>5.0000000000000001E-3</v>
      </c>
      <c r="D575" s="422">
        <v>1</v>
      </c>
      <c r="E575" s="423">
        <f t="shared" si="138"/>
        <v>5.0000000000000001E-3</v>
      </c>
      <c r="F575" s="422">
        <v>437.82</v>
      </c>
      <c r="G575" s="477">
        <f t="shared" si="133"/>
        <v>364.85</v>
      </c>
      <c r="H575" s="422">
        <v>13.9777</v>
      </c>
      <c r="I575" s="416">
        <f t="shared" si="136"/>
        <v>5099.76</v>
      </c>
      <c r="J575" s="418">
        <f t="shared" si="131"/>
        <v>25.5</v>
      </c>
      <c r="K575" s="419">
        <f t="shared" si="137"/>
        <v>5.0999999999999996</v>
      </c>
      <c r="L575" s="437">
        <f t="shared" si="139"/>
        <v>30.6</v>
      </c>
      <c r="M575" s="121"/>
      <c r="N575" s="111">
        <v>3302.1431645416669</v>
      </c>
      <c r="O575" s="42">
        <v>5786.1</v>
      </c>
      <c r="P575" s="51"/>
      <c r="Q575" s="22"/>
      <c r="R575" s="22"/>
    </row>
    <row r="576" spans="1:18" s="20" customFormat="1" ht="153" hidden="1" x14ac:dyDescent="0.2">
      <c r="A576" s="469" t="s">
        <v>400</v>
      </c>
      <c r="B576" s="423" t="s">
        <v>354</v>
      </c>
      <c r="C576" s="422">
        <v>7.0000000000000001E-3</v>
      </c>
      <c r="D576" s="422">
        <v>1</v>
      </c>
      <c r="E576" s="423">
        <f t="shared" si="138"/>
        <v>7.0000000000000001E-3</v>
      </c>
      <c r="F576" s="422">
        <v>279.35000000000002</v>
      </c>
      <c r="G576" s="477">
        <f t="shared" si="133"/>
        <v>232.79166666666669</v>
      </c>
      <c r="H576" s="422">
        <v>13.9777</v>
      </c>
      <c r="I576" s="416">
        <f t="shared" si="136"/>
        <v>3253.89</v>
      </c>
      <c r="J576" s="418">
        <f t="shared" si="131"/>
        <v>22.78</v>
      </c>
      <c r="K576" s="419">
        <f t="shared" si="137"/>
        <v>4.5599999999999996</v>
      </c>
      <c r="L576" s="437">
        <f t="shared" si="139"/>
        <v>27.34</v>
      </c>
      <c r="M576" s="121"/>
      <c r="N576" s="111">
        <v>28.236440125000001</v>
      </c>
      <c r="O576" s="42">
        <v>49.47</v>
      </c>
      <c r="P576" s="51"/>
      <c r="Q576" s="22"/>
      <c r="R576" s="22"/>
    </row>
    <row r="577" spans="1:21" s="20" customFormat="1" ht="51" hidden="1" x14ac:dyDescent="0.2">
      <c r="A577" s="469" t="s">
        <v>356</v>
      </c>
      <c r="B577" s="445" t="s">
        <v>355</v>
      </c>
      <c r="C577" s="422">
        <v>1.82E-3</v>
      </c>
      <c r="D577" s="422">
        <v>1</v>
      </c>
      <c r="E577" s="423">
        <f t="shared" si="138"/>
        <v>1.82E-3</v>
      </c>
      <c r="F577" s="422">
        <v>19696.099999999999</v>
      </c>
      <c r="G577" s="477">
        <f t="shared" si="133"/>
        <v>16413.416666666668</v>
      </c>
      <c r="H577" s="422">
        <v>13.9777</v>
      </c>
      <c r="I577" s="416">
        <f t="shared" si="136"/>
        <v>229421.81</v>
      </c>
      <c r="J577" s="418">
        <f t="shared" si="131"/>
        <v>417.55</v>
      </c>
      <c r="K577" s="419">
        <f t="shared" si="137"/>
        <v>83.51</v>
      </c>
      <c r="L577" s="437">
        <f t="shared" si="139"/>
        <v>501.06</v>
      </c>
      <c r="M577" s="121"/>
      <c r="N577" s="111">
        <v>25.215384104166667</v>
      </c>
      <c r="O577" s="42">
        <v>44.19</v>
      </c>
      <c r="P577" s="51"/>
      <c r="Q577" s="22"/>
      <c r="R577" s="22"/>
    </row>
    <row r="578" spans="1:21" s="20" customFormat="1" ht="51" hidden="1" x14ac:dyDescent="0.2">
      <c r="A578" s="469" t="s">
        <v>357</v>
      </c>
      <c r="B578" s="423" t="s">
        <v>355</v>
      </c>
      <c r="C578" s="422">
        <v>6.9999999999999999E-4</v>
      </c>
      <c r="D578" s="422">
        <v>1</v>
      </c>
      <c r="E578" s="423">
        <f t="shared" si="138"/>
        <v>6.9999999999999999E-4</v>
      </c>
      <c r="F578" s="422">
        <v>437.82</v>
      </c>
      <c r="G578" s="477">
        <f t="shared" si="133"/>
        <v>364.85</v>
      </c>
      <c r="H578" s="422">
        <v>13.9777</v>
      </c>
      <c r="I578" s="416">
        <f t="shared" si="136"/>
        <v>5099.76</v>
      </c>
      <c r="J578" s="418">
        <f t="shared" si="131"/>
        <v>3.57</v>
      </c>
      <c r="K578" s="419">
        <f t="shared" si="137"/>
        <v>0.71</v>
      </c>
      <c r="L578" s="437">
        <f t="shared" si="139"/>
        <v>4.28</v>
      </c>
      <c r="M578" s="155">
        <v>152430.43999999994</v>
      </c>
      <c r="N578" s="111">
        <v>462.29964303583336</v>
      </c>
      <c r="O578" s="42">
        <v>810.05</v>
      </c>
      <c r="P578" s="51"/>
      <c r="Q578" s="22"/>
      <c r="R578" s="22"/>
    </row>
    <row r="579" spans="1:21" s="20" customFormat="1" ht="12.75" hidden="1" x14ac:dyDescent="0.2">
      <c r="A579" s="469"/>
      <c r="B579" s="423"/>
      <c r="C579" s="422"/>
      <c r="D579" s="422"/>
      <c r="E579" s="423"/>
      <c r="F579" s="422"/>
      <c r="G579" s="477"/>
      <c r="H579" s="422"/>
      <c r="I579" s="416"/>
      <c r="J579" s="418"/>
      <c r="K579" s="419"/>
      <c r="L579" s="420">
        <f>SUM(L379:L578)</f>
        <v>21054338.729999986</v>
      </c>
      <c r="M579" s="256">
        <f>L579/1.2</f>
        <v>17545282.274999987</v>
      </c>
      <c r="N579" s="111"/>
      <c r="O579" s="42"/>
      <c r="P579" s="51"/>
      <c r="Q579" s="22"/>
      <c r="R579" s="22"/>
    </row>
    <row r="580" spans="1:21" s="20" customFormat="1" ht="25.5" hidden="1" x14ac:dyDescent="0.2">
      <c r="A580" s="473" t="s">
        <v>452</v>
      </c>
      <c r="B580" s="266"/>
      <c r="C580" s="266"/>
      <c r="D580" s="240"/>
      <c r="E580" s="426"/>
      <c r="F580" s="267"/>
      <c r="G580" s="267"/>
      <c r="H580" s="267"/>
      <c r="I580" s="267"/>
      <c r="J580" s="267">
        <f>SUM(J379:J578)+0.02</f>
        <v>17545282.280000042</v>
      </c>
      <c r="K580" s="234">
        <f>ROUND(J580*0.2,2)-0.009</f>
        <v>3509056.4509999999</v>
      </c>
      <c r="L580" s="265">
        <f>J580+K580</f>
        <v>21054338.731000043</v>
      </c>
      <c r="M580" s="10"/>
      <c r="N580" s="111">
        <v>3.9537016175000002</v>
      </c>
      <c r="O580" s="42">
        <v>6.93</v>
      </c>
      <c r="P580" s="58">
        <f>L573+L574+L575+L576+L577+L578</f>
        <v>4923.2000000000007</v>
      </c>
      <c r="Q580" s="22"/>
      <c r="R580" s="22"/>
    </row>
    <row r="581" spans="1:21" s="20" customFormat="1" ht="12.75" x14ac:dyDescent="0.2">
      <c r="A581" s="269" t="s">
        <v>240</v>
      </c>
      <c r="B581" s="450"/>
      <c r="C581" s="451"/>
      <c r="D581" s="451"/>
      <c r="E581" s="451"/>
      <c r="F581" s="451"/>
      <c r="G581" s="451"/>
      <c r="H581" s="452"/>
      <c r="I581" s="452"/>
      <c r="J581" s="437"/>
      <c r="K581" s="420"/>
      <c r="L581" s="453"/>
      <c r="M581" s="61"/>
      <c r="N581" s="99">
        <v>6055094.1374444291</v>
      </c>
      <c r="O581" s="18">
        <v>17397213.709999997</v>
      </c>
      <c r="P581" s="83">
        <v>14589512</v>
      </c>
      <c r="Q581" s="22"/>
      <c r="R581" s="22"/>
    </row>
    <row r="582" spans="1:21" s="20" customFormat="1" ht="25.5" x14ac:dyDescent="0.2">
      <c r="A582" s="269" t="s">
        <v>146</v>
      </c>
      <c r="B582" s="450"/>
      <c r="C582" s="451"/>
      <c r="D582" s="451"/>
      <c r="E582" s="451"/>
      <c r="F582" s="451"/>
      <c r="G582" s="451"/>
      <c r="H582" s="452"/>
      <c r="I582" s="452"/>
      <c r="J582" s="437"/>
      <c r="K582" s="420"/>
      <c r="L582" s="453"/>
      <c r="M582" s="61" t="e">
        <f>#REF!+#REF!</f>
        <v>#REF!</v>
      </c>
      <c r="N582" s="96"/>
      <c r="O582" s="18"/>
      <c r="P582" s="19"/>
      <c r="Q582" s="19"/>
      <c r="R582" s="19"/>
      <c r="S582" s="40"/>
      <c r="U582" s="40">
        <f>S582+T582</f>
        <v>0</v>
      </c>
    </row>
    <row r="583" spans="1:21" s="20" customFormat="1" ht="38.25" x14ac:dyDescent="0.2">
      <c r="A583" s="473" t="s">
        <v>147</v>
      </c>
      <c r="B583" s="479"/>
      <c r="C583" s="479"/>
      <c r="D583" s="479"/>
      <c r="E583" s="479"/>
      <c r="F583" s="479"/>
      <c r="G583" s="479"/>
      <c r="H583" s="479"/>
      <c r="I583" s="479"/>
      <c r="J583" s="479"/>
      <c r="K583" s="480"/>
      <c r="L583" s="23"/>
      <c r="M583" s="23" t="s">
        <v>540</v>
      </c>
      <c r="N583" s="96"/>
      <c r="O583" s="18"/>
      <c r="P583" s="19"/>
      <c r="Q583" s="19"/>
      <c r="R583" s="19"/>
      <c r="S583" s="40"/>
      <c r="U583" s="40"/>
    </row>
    <row r="584" spans="1:21" s="20" customFormat="1" ht="89.25" x14ac:dyDescent="0.2">
      <c r="A584" s="469" t="s">
        <v>78</v>
      </c>
      <c r="B584" s="422" t="s">
        <v>426</v>
      </c>
      <c r="C584" s="422">
        <v>166.2</v>
      </c>
      <c r="D584" s="422">
        <v>2</v>
      </c>
      <c r="E584" s="422">
        <f t="shared" ref="E584:E587" si="140">ROUND(C584*D584,2)</f>
        <v>332.4</v>
      </c>
      <c r="F584" s="422"/>
      <c r="G584" s="416">
        <v>188.57</v>
      </c>
      <c r="H584" s="417">
        <v>2.0764999999999998</v>
      </c>
      <c r="I584" s="416">
        <f t="shared" ref="I584:I587" si="141">ROUND(G584*H584,2)</f>
        <v>391.57</v>
      </c>
      <c r="J584" s="418">
        <f t="shared" ref="J584:J586" si="142">ROUND(I584*E584,2)</f>
        <v>130157.87</v>
      </c>
      <c r="K584" s="419">
        <f t="shared" ref="K584:K587" si="143">ROUND(J584*0.2,2)</f>
        <v>26031.57</v>
      </c>
      <c r="L584" s="420">
        <f t="shared" ref="L584:L587" si="144">ROUND(J584+K584,2)</f>
        <v>156189.44</v>
      </c>
      <c r="M584" s="64"/>
      <c r="N584" s="77">
        <v>67331.94</v>
      </c>
      <c r="O584" s="18">
        <v>100901.66</v>
      </c>
      <c r="P584" s="22"/>
      <c r="Q584" s="22"/>
      <c r="R584" s="22"/>
    </row>
    <row r="585" spans="1:21" s="20" customFormat="1" ht="76.5" x14ac:dyDescent="0.2">
      <c r="A585" s="469" t="s">
        <v>79</v>
      </c>
      <c r="B585" s="422" t="s">
        <v>354</v>
      </c>
      <c r="C585" s="422">
        <v>185.94</v>
      </c>
      <c r="D585" s="422">
        <v>1</v>
      </c>
      <c r="E585" s="422">
        <f t="shared" si="140"/>
        <v>185.94</v>
      </c>
      <c r="F585" s="422"/>
      <c r="G585" s="416">
        <v>188.57</v>
      </c>
      <c r="H585" s="417">
        <v>2.0764999999999998</v>
      </c>
      <c r="I585" s="416">
        <f t="shared" si="141"/>
        <v>391.57</v>
      </c>
      <c r="J585" s="418">
        <f t="shared" si="142"/>
        <v>72808.53</v>
      </c>
      <c r="K585" s="419">
        <f t="shared" si="143"/>
        <v>14561.71</v>
      </c>
      <c r="L585" s="420">
        <f t="shared" si="144"/>
        <v>87370.240000000005</v>
      </c>
      <c r="M585" s="64"/>
      <c r="N585" s="77">
        <v>97262.63</v>
      </c>
      <c r="O585" s="18">
        <v>194339.87</v>
      </c>
      <c r="P585" s="22"/>
      <c r="Q585" s="22"/>
      <c r="R585" s="22"/>
    </row>
    <row r="586" spans="1:21" s="20" customFormat="1" ht="63.75" x14ac:dyDescent="0.2">
      <c r="A586" s="411" t="s">
        <v>64</v>
      </c>
      <c r="B586" s="422" t="s">
        <v>411</v>
      </c>
      <c r="C586" s="422">
        <v>1000</v>
      </c>
      <c r="D586" s="422">
        <v>3</v>
      </c>
      <c r="E586" s="422">
        <f t="shared" si="140"/>
        <v>3000</v>
      </c>
      <c r="F586" s="422"/>
      <c r="G586" s="416">
        <v>44.32</v>
      </c>
      <c r="H586" s="417">
        <v>2.0764999999999998</v>
      </c>
      <c r="I586" s="416">
        <f t="shared" si="141"/>
        <v>92.03</v>
      </c>
      <c r="J586" s="418">
        <f t="shared" si="142"/>
        <v>276090</v>
      </c>
      <c r="K586" s="419">
        <f t="shared" si="143"/>
        <v>55218</v>
      </c>
      <c r="L586" s="420">
        <f t="shared" si="144"/>
        <v>331308</v>
      </c>
      <c r="M586" s="64"/>
      <c r="N586" s="77"/>
      <c r="O586" s="18"/>
      <c r="P586" s="22"/>
      <c r="Q586" s="22"/>
      <c r="R586" s="22"/>
    </row>
    <row r="587" spans="1:21" s="20" customFormat="1" ht="51" x14ac:dyDescent="0.2">
      <c r="A587" s="481" t="s">
        <v>106</v>
      </c>
      <c r="B587" s="422" t="s">
        <v>426</v>
      </c>
      <c r="C587" s="422">
        <v>176.07</v>
      </c>
      <c r="D587" s="422">
        <v>2</v>
      </c>
      <c r="E587" s="422">
        <f t="shared" si="140"/>
        <v>352.14</v>
      </c>
      <c r="F587" s="422"/>
      <c r="G587" s="416">
        <v>241.57</v>
      </c>
      <c r="H587" s="417">
        <v>2.0764999999999998</v>
      </c>
      <c r="I587" s="416">
        <f t="shared" si="141"/>
        <v>501.62</v>
      </c>
      <c r="J587" s="418">
        <f>ROUND(I587*E587,2)</f>
        <v>176640.47</v>
      </c>
      <c r="K587" s="419">
        <f t="shared" si="143"/>
        <v>35328.089999999997</v>
      </c>
      <c r="L587" s="420">
        <f t="shared" si="144"/>
        <v>211968.56</v>
      </c>
      <c r="M587" s="64"/>
      <c r="N587" s="77">
        <v>3151.01</v>
      </c>
      <c r="O587" s="18">
        <v>3147.93</v>
      </c>
      <c r="P587" s="22"/>
      <c r="Q587" s="22"/>
      <c r="R587" s="22"/>
    </row>
    <row r="588" spans="1:21" s="20" customFormat="1" ht="25.5" x14ac:dyDescent="0.2">
      <c r="A588" s="473" t="s">
        <v>81</v>
      </c>
      <c r="B588" s="422"/>
      <c r="C588" s="422"/>
      <c r="D588" s="422"/>
      <c r="E588" s="422"/>
      <c r="F588" s="422"/>
      <c r="G588" s="416"/>
      <c r="H588" s="422"/>
      <c r="I588" s="422"/>
      <c r="J588" s="422"/>
      <c r="K588" s="457"/>
      <c r="L588" s="420"/>
      <c r="M588" s="64"/>
      <c r="N588" s="77"/>
      <c r="O588" s="18"/>
      <c r="P588" s="22"/>
      <c r="Q588" s="22"/>
      <c r="R588" s="22"/>
    </row>
    <row r="589" spans="1:21" s="20" customFormat="1" ht="114.75" x14ac:dyDescent="0.2">
      <c r="A589" s="469" t="s">
        <v>107</v>
      </c>
      <c r="B589" s="422" t="s">
        <v>411</v>
      </c>
      <c r="C589" s="422">
        <v>5</v>
      </c>
      <c r="D589" s="422">
        <v>1</v>
      </c>
      <c r="E589" s="422">
        <f t="shared" ref="E589:E594" si="145">ROUND(C589*D589,2)</f>
        <v>5</v>
      </c>
      <c r="F589" s="422"/>
      <c r="G589" s="416">
        <v>64649.39</v>
      </c>
      <c r="H589" s="417">
        <v>2.0764999999999998</v>
      </c>
      <c r="I589" s="416">
        <f t="shared" ref="I589:I591" si="146">ROUND(G589*H589,2)</f>
        <v>134244.46</v>
      </c>
      <c r="J589" s="418">
        <f t="shared" ref="J589:J591" si="147">ROUND(I589*E589,2)</f>
        <v>671222.3</v>
      </c>
      <c r="K589" s="419">
        <f t="shared" ref="K589:K591" si="148">ROUND(J589*0.2,2)</f>
        <v>134244.46</v>
      </c>
      <c r="L589" s="420">
        <f t="shared" ref="L589:L591" si="149">ROUND(J589+K589,2)</f>
        <v>805466.76</v>
      </c>
      <c r="M589" s="64"/>
      <c r="N589" s="77"/>
      <c r="O589" s="18"/>
      <c r="P589" s="22"/>
      <c r="Q589" s="22"/>
      <c r="R589" s="22"/>
    </row>
    <row r="590" spans="1:21" s="20" customFormat="1" ht="127.5" x14ac:dyDescent="0.2">
      <c r="A590" s="469" t="s">
        <v>108</v>
      </c>
      <c r="B590" s="422" t="s">
        <v>411</v>
      </c>
      <c r="C590" s="422">
        <f>5.81*0.5</f>
        <v>2.9049999999999998</v>
      </c>
      <c r="D590" s="422">
        <v>0</v>
      </c>
      <c r="E590" s="422">
        <f t="shared" si="145"/>
        <v>0</v>
      </c>
      <c r="F590" s="422"/>
      <c r="G590" s="416">
        <v>77125.899999999994</v>
      </c>
      <c r="H590" s="417">
        <v>2.0764999999999998</v>
      </c>
      <c r="I590" s="416">
        <f t="shared" si="146"/>
        <v>160151.93</v>
      </c>
      <c r="J590" s="418">
        <f t="shared" si="147"/>
        <v>0</v>
      </c>
      <c r="K590" s="419">
        <f t="shared" si="148"/>
        <v>0</v>
      </c>
      <c r="L590" s="420">
        <f t="shared" si="149"/>
        <v>0</v>
      </c>
      <c r="M590" s="64"/>
      <c r="N590" s="77">
        <v>601993.22</v>
      </c>
      <c r="O590" s="18">
        <v>1201775.48</v>
      </c>
      <c r="P590" s="22"/>
      <c r="Q590" s="22"/>
      <c r="R590" s="22"/>
    </row>
    <row r="591" spans="1:21" s="20" customFormat="1" ht="76.5" x14ac:dyDescent="0.2">
      <c r="A591" s="469" t="s">
        <v>110</v>
      </c>
      <c r="B591" s="422" t="s">
        <v>431</v>
      </c>
      <c r="C591" s="422">
        <v>464.8</v>
      </c>
      <c r="D591" s="422">
        <v>4</v>
      </c>
      <c r="E591" s="422">
        <f t="shared" si="145"/>
        <v>1859.2</v>
      </c>
      <c r="F591" s="422"/>
      <c r="G591" s="416">
        <v>283.41000000000003</v>
      </c>
      <c r="H591" s="417">
        <v>2.0764999999999998</v>
      </c>
      <c r="I591" s="416">
        <f t="shared" si="146"/>
        <v>588.5</v>
      </c>
      <c r="J591" s="418">
        <f t="shared" si="147"/>
        <v>1094139.2</v>
      </c>
      <c r="K591" s="419">
        <f t="shared" si="148"/>
        <v>218827.84</v>
      </c>
      <c r="L591" s="420">
        <f t="shared" si="149"/>
        <v>1312967.04</v>
      </c>
      <c r="M591" s="64"/>
      <c r="N591" s="77">
        <v>164447.4</v>
      </c>
      <c r="O591" s="18">
        <v>328568.5</v>
      </c>
      <c r="P591" s="22"/>
      <c r="Q591" s="22"/>
      <c r="R591" s="22"/>
    </row>
    <row r="592" spans="1:21" s="20" customFormat="1" ht="38.25" x14ac:dyDescent="0.2">
      <c r="A592" s="473" t="s">
        <v>83</v>
      </c>
      <c r="B592" s="422"/>
      <c r="C592" s="422"/>
      <c r="D592" s="422"/>
      <c r="E592" s="422"/>
      <c r="F592" s="422"/>
      <c r="G592" s="416"/>
      <c r="H592" s="417"/>
      <c r="I592" s="416"/>
      <c r="J592" s="418"/>
      <c r="K592" s="419"/>
      <c r="L592" s="420"/>
      <c r="M592" s="64"/>
      <c r="N592" s="77"/>
      <c r="O592" s="18"/>
      <c r="P592" s="22"/>
      <c r="Q592" s="22"/>
      <c r="R592" s="22"/>
    </row>
    <row r="593" spans="1:18" s="20" customFormat="1" ht="25.5" x14ac:dyDescent="0.2">
      <c r="A593" s="482" t="s">
        <v>84</v>
      </c>
      <c r="B593" s="422" t="s">
        <v>433</v>
      </c>
      <c r="C593" s="422">
        <v>500</v>
      </c>
      <c r="D593" s="422">
        <v>1</v>
      </c>
      <c r="E593" s="422">
        <f>ROUND(C593*D593,2)</f>
        <v>500</v>
      </c>
      <c r="F593" s="422"/>
      <c r="G593" s="416">
        <v>77.2</v>
      </c>
      <c r="H593" s="417">
        <v>2.0764999999999998</v>
      </c>
      <c r="I593" s="416">
        <f>ROUND(G593*H593,2)</f>
        <v>160.31</v>
      </c>
      <c r="J593" s="418">
        <f>ROUND(I593*E593,2)</f>
        <v>80155</v>
      </c>
      <c r="K593" s="419">
        <f>ROUND(J593*0.2,2)</f>
        <v>16031</v>
      </c>
      <c r="L593" s="420">
        <f>ROUND(J593+K593,2)</f>
        <v>96186</v>
      </c>
      <c r="M593" s="64"/>
      <c r="N593" s="77"/>
      <c r="O593" s="18"/>
      <c r="P593" s="22"/>
      <c r="Q593" s="22"/>
      <c r="R593" s="22"/>
    </row>
    <row r="594" spans="1:18" s="20" customFormat="1" ht="25.5" x14ac:dyDescent="0.2">
      <c r="A594" s="482" t="s">
        <v>85</v>
      </c>
      <c r="B594" s="422" t="s">
        <v>437</v>
      </c>
      <c r="C594" s="422">
        <v>20</v>
      </c>
      <c r="D594" s="422">
        <v>1</v>
      </c>
      <c r="E594" s="422">
        <f t="shared" si="145"/>
        <v>20</v>
      </c>
      <c r="F594" s="422"/>
      <c r="G594" s="416">
        <v>1547.81</v>
      </c>
      <c r="H594" s="417">
        <v>2.0764999999999998</v>
      </c>
      <c r="I594" s="416">
        <f>ROUND(G594*H594,2)</f>
        <v>3214.03</v>
      </c>
      <c r="J594" s="418">
        <f>ROUND(I594*E594,2)</f>
        <v>64280.6</v>
      </c>
      <c r="K594" s="419">
        <f>ROUND(J594*0.2,2)</f>
        <v>12856.12</v>
      </c>
      <c r="L594" s="420">
        <f>ROUND(J594+K594,2)</f>
        <v>77136.72</v>
      </c>
      <c r="M594" s="64"/>
      <c r="N594" s="77">
        <v>159598.79999999999</v>
      </c>
      <c r="O594" s="18">
        <v>159445.29</v>
      </c>
      <c r="P594" s="22"/>
      <c r="Q594" s="22"/>
      <c r="R594" s="22"/>
    </row>
    <row r="595" spans="1:18" s="20" customFormat="1" ht="38.25" x14ac:dyDescent="0.2">
      <c r="A595" s="473" t="s">
        <v>86</v>
      </c>
      <c r="B595" s="422"/>
      <c r="C595" s="422"/>
      <c r="D595" s="422"/>
      <c r="E595" s="422"/>
      <c r="F595" s="422"/>
      <c r="G595" s="416"/>
      <c r="H595" s="417"/>
      <c r="I595" s="416"/>
      <c r="J595" s="418"/>
      <c r="K595" s="419"/>
      <c r="L595" s="420"/>
      <c r="M595" s="64"/>
      <c r="N595" s="77">
        <v>168685.15</v>
      </c>
      <c r="O595" s="18">
        <v>168520.46</v>
      </c>
      <c r="P595" s="22"/>
      <c r="Q595" s="22"/>
      <c r="R595" s="22"/>
    </row>
    <row r="596" spans="1:18" s="20" customFormat="1" ht="25.5" x14ac:dyDescent="0.2">
      <c r="A596" s="469" t="s">
        <v>87</v>
      </c>
      <c r="B596" s="422" t="s">
        <v>422</v>
      </c>
      <c r="C596" s="422">
        <v>102</v>
      </c>
      <c r="D596" s="422">
        <v>1</v>
      </c>
      <c r="E596" s="422">
        <f t="shared" ref="E596:E599" si="150">ROUND(C596*D596,2)</f>
        <v>102</v>
      </c>
      <c r="F596" s="422"/>
      <c r="G596" s="416">
        <v>108.09</v>
      </c>
      <c r="H596" s="417">
        <v>2.0764999999999998</v>
      </c>
      <c r="I596" s="416">
        <f t="shared" ref="I596:I599" si="151">ROUND(G596*H596,2)</f>
        <v>224.45</v>
      </c>
      <c r="J596" s="418">
        <f t="shared" ref="J596:J599" si="152">ROUND(I596*E596,2)</f>
        <v>22893.9</v>
      </c>
      <c r="K596" s="419">
        <f t="shared" ref="K596:K599" si="153">ROUND(J596*0.2,2)</f>
        <v>4578.78</v>
      </c>
      <c r="L596" s="420">
        <f t="shared" ref="L596:L599" si="154">ROUND(J596+K596,2)</f>
        <v>27472.68</v>
      </c>
      <c r="M596" s="64"/>
      <c r="N596" s="77"/>
      <c r="O596" s="18"/>
      <c r="P596" s="22"/>
      <c r="Q596" s="22"/>
      <c r="R596" s="22"/>
    </row>
    <row r="597" spans="1:18" s="20" customFormat="1" ht="25.5" x14ac:dyDescent="0.2">
      <c r="A597" s="469" t="s">
        <v>137</v>
      </c>
      <c r="B597" s="422" t="s">
        <v>422</v>
      </c>
      <c r="C597" s="422">
        <v>20</v>
      </c>
      <c r="D597" s="422">
        <v>1</v>
      </c>
      <c r="E597" s="422">
        <f t="shared" si="150"/>
        <v>20</v>
      </c>
      <c r="F597" s="422"/>
      <c r="G597" s="416">
        <v>167.36</v>
      </c>
      <c r="H597" s="417">
        <v>2.0764999999999998</v>
      </c>
      <c r="I597" s="416">
        <f t="shared" si="151"/>
        <v>347.52</v>
      </c>
      <c r="J597" s="418">
        <f t="shared" si="152"/>
        <v>6950.4</v>
      </c>
      <c r="K597" s="419">
        <f t="shared" si="153"/>
        <v>1390.08</v>
      </c>
      <c r="L597" s="420">
        <f t="shared" si="154"/>
        <v>8340.48</v>
      </c>
      <c r="M597" s="64"/>
      <c r="N597" s="77">
        <v>134493.65</v>
      </c>
      <c r="O597" s="18">
        <v>106563.25</v>
      </c>
      <c r="P597" s="22"/>
      <c r="Q597" s="22"/>
      <c r="R597" s="22"/>
    </row>
    <row r="598" spans="1:18" s="20" customFormat="1" ht="25.5" x14ac:dyDescent="0.2">
      <c r="A598" s="469" t="s">
        <v>104</v>
      </c>
      <c r="B598" s="422" t="s">
        <v>411</v>
      </c>
      <c r="C598" s="422">
        <v>1</v>
      </c>
      <c r="D598" s="422">
        <v>1</v>
      </c>
      <c r="E598" s="422">
        <f t="shared" si="150"/>
        <v>1</v>
      </c>
      <c r="F598" s="422"/>
      <c r="G598" s="416">
        <v>5333.45</v>
      </c>
      <c r="H598" s="417">
        <v>2.0764999999999998</v>
      </c>
      <c r="I598" s="416">
        <f t="shared" si="151"/>
        <v>11074.91</v>
      </c>
      <c r="J598" s="418">
        <f t="shared" si="152"/>
        <v>11074.91</v>
      </c>
      <c r="K598" s="419">
        <f t="shared" si="153"/>
        <v>2214.98</v>
      </c>
      <c r="L598" s="420">
        <f t="shared" si="154"/>
        <v>13289.89</v>
      </c>
      <c r="M598" s="64"/>
      <c r="N598" s="77">
        <v>26823.599999999999</v>
      </c>
      <c r="O598" s="18">
        <v>26797.3</v>
      </c>
      <c r="P598" s="22"/>
      <c r="Q598" s="22"/>
      <c r="R598" s="22"/>
    </row>
    <row r="599" spans="1:18" s="20" customFormat="1" ht="102" x14ac:dyDescent="0.2">
      <c r="A599" s="469" t="s">
        <v>202</v>
      </c>
      <c r="B599" s="422" t="s">
        <v>446</v>
      </c>
      <c r="C599" s="422">
        <v>100</v>
      </c>
      <c r="D599" s="422">
        <v>1</v>
      </c>
      <c r="E599" s="422">
        <f t="shared" si="150"/>
        <v>100</v>
      </c>
      <c r="F599" s="422"/>
      <c r="G599" s="416">
        <v>38.590000000000003</v>
      </c>
      <c r="H599" s="417">
        <v>2.0764999999999998</v>
      </c>
      <c r="I599" s="416">
        <f t="shared" si="151"/>
        <v>80.13</v>
      </c>
      <c r="J599" s="418">
        <f t="shared" si="152"/>
        <v>8013</v>
      </c>
      <c r="K599" s="419">
        <f t="shared" si="153"/>
        <v>1602.6</v>
      </c>
      <c r="L599" s="420">
        <f t="shared" si="154"/>
        <v>9615.6</v>
      </c>
      <c r="M599" s="64"/>
      <c r="N599" s="77">
        <v>200163.77000000002</v>
      </c>
      <c r="O599" s="18">
        <v>140183.16</v>
      </c>
      <c r="P599" s="22"/>
      <c r="Q599" s="22"/>
      <c r="R599" s="22"/>
    </row>
    <row r="600" spans="1:18" s="20" customFormat="1" ht="12.75" x14ac:dyDescent="0.2">
      <c r="A600" s="473" t="s">
        <v>88</v>
      </c>
      <c r="B600" s="422"/>
      <c r="C600" s="422"/>
      <c r="D600" s="422"/>
      <c r="E600" s="422"/>
      <c r="F600" s="422"/>
      <c r="G600" s="416"/>
      <c r="H600" s="417"/>
      <c r="I600" s="416"/>
      <c r="J600" s="418"/>
      <c r="K600" s="419"/>
      <c r="L600" s="420"/>
      <c r="M600" s="64"/>
      <c r="N600" s="77"/>
      <c r="O600" s="18"/>
      <c r="P600" s="22"/>
      <c r="Q600" s="22"/>
      <c r="R600" s="22"/>
    </row>
    <row r="601" spans="1:18" s="20" customFormat="1" ht="25.5" x14ac:dyDescent="0.2">
      <c r="A601" s="473" t="s">
        <v>141</v>
      </c>
      <c r="B601" s="422"/>
      <c r="C601" s="422"/>
      <c r="D601" s="422"/>
      <c r="E601" s="422"/>
      <c r="F601" s="422"/>
      <c r="G601" s="416"/>
      <c r="H601" s="417"/>
      <c r="I601" s="416"/>
      <c r="J601" s="418"/>
      <c r="K601" s="419"/>
      <c r="L601" s="420"/>
      <c r="M601" s="64"/>
      <c r="N601" s="77">
        <v>101309.52</v>
      </c>
      <c r="O601" s="18">
        <v>101186.02</v>
      </c>
      <c r="P601" s="22"/>
      <c r="Q601" s="22"/>
      <c r="R601" s="22"/>
    </row>
    <row r="602" spans="1:18" s="20" customFormat="1" ht="76.5" x14ac:dyDescent="0.2">
      <c r="A602" s="469" t="s">
        <v>113</v>
      </c>
      <c r="B602" s="422" t="s">
        <v>354</v>
      </c>
      <c r="C602" s="422">
        <v>162</v>
      </c>
      <c r="D602" s="422">
        <v>15</v>
      </c>
      <c r="E602" s="422">
        <f t="shared" ref="E602:E609" si="155">ROUND(C602*D602,2)</f>
        <v>2430</v>
      </c>
      <c r="F602" s="422"/>
      <c r="G602" s="416">
        <v>101.44</v>
      </c>
      <c r="H602" s="417">
        <v>2.0764999999999998</v>
      </c>
      <c r="I602" s="416">
        <f t="shared" ref="I602:I609" si="156">ROUND(G602*H602,2)</f>
        <v>210.64</v>
      </c>
      <c r="J602" s="418">
        <f t="shared" ref="J602:J609" si="157">ROUND(I602*E602,2)</f>
        <v>511855.2</v>
      </c>
      <c r="K602" s="419">
        <f t="shared" ref="K602:K609" si="158">ROUND(J602*0.2,2)</f>
        <v>102371.04</v>
      </c>
      <c r="L602" s="420">
        <f t="shared" ref="L602:L609" si="159">ROUND(J602+K602,2)</f>
        <v>614226.24</v>
      </c>
      <c r="M602" s="64"/>
      <c r="N602" s="77"/>
      <c r="O602" s="18"/>
      <c r="P602" s="22"/>
      <c r="Q602" s="22"/>
      <c r="R602" s="22"/>
    </row>
    <row r="603" spans="1:18" s="20" customFormat="1" ht="76.5" x14ac:dyDescent="0.2">
      <c r="A603" s="469" t="s">
        <v>176</v>
      </c>
      <c r="B603" s="422" t="s">
        <v>354</v>
      </c>
      <c r="C603" s="422">
        <v>185.9</v>
      </c>
      <c r="D603" s="422">
        <v>15</v>
      </c>
      <c r="E603" s="422">
        <f t="shared" si="155"/>
        <v>2788.5</v>
      </c>
      <c r="F603" s="422"/>
      <c r="G603" s="416">
        <v>100.49</v>
      </c>
      <c r="H603" s="417">
        <v>2.0764999999999998</v>
      </c>
      <c r="I603" s="416">
        <f t="shared" si="156"/>
        <v>208.67</v>
      </c>
      <c r="J603" s="418">
        <f t="shared" si="157"/>
        <v>581876.30000000005</v>
      </c>
      <c r="K603" s="419">
        <f t="shared" si="158"/>
        <v>116375.26</v>
      </c>
      <c r="L603" s="420">
        <f t="shared" si="159"/>
        <v>698251.56</v>
      </c>
      <c r="M603" s="64"/>
      <c r="N603" s="77"/>
      <c r="O603" s="18"/>
      <c r="P603" s="22"/>
      <c r="Q603" s="22"/>
      <c r="R603" s="22"/>
    </row>
    <row r="604" spans="1:18" s="20" customFormat="1" ht="89.25" x14ac:dyDescent="0.2">
      <c r="A604" s="469" t="s">
        <v>178</v>
      </c>
      <c r="B604" s="422" t="s">
        <v>432</v>
      </c>
      <c r="C604" s="422">
        <v>498.6</v>
      </c>
      <c r="D604" s="422">
        <v>15</v>
      </c>
      <c r="E604" s="422">
        <f t="shared" si="155"/>
        <v>7479</v>
      </c>
      <c r="F604" s="422"/>
      <c r="G604" s="416">
        <v>126.79</v>
      </c>
      <c r="H604" s="417">
        <v>2.0764999999999998</v>
      </c>
      <c r="I604" s="416">
        <f t="shared" si="156"/>
        <v>263.27999999999997</v>
      </c>
      <c r="J604" s="418">
        <f t="shared" si="157"/>
        <v>1969071.12</v>
      </c>
      <c r="K604" s="419">
        <f t="shared" si="158"/>
        <v>393814.22</v>
      </c>
      <c r="L604" s="420">
        <f t="shared" si="159"/>
        <v>2362885.34</v>
      </c>
      <c r="M604" s="64"/>
      <c r="N604" s="77"/>
      <c r="O604" s="18"/>
      <c r="P604" s="22"/>
      <c r="Q604" s="22"/>
      <c r="R604" s="22"/>
    </row>
    <row r="605" spans="1:18" s="20" customFormat="1" ht="76.5" x14ac:dyDescent="0.2">
      <c r="A605" s="469" t="s">
        <v>180</v>
      </c>
      <c r="B605" s="422" t="s">
        <v>432</v>
      </c>
      <c r="C605" s="422">
        <v>464.9</v>
      </c>
      <c r="D605" s="422">
        <v>15</v>
      </c>
      <c r="E605" s="422">
        <f t="shared" si="155"/>
        <v>6973.5</v>
      </c>
      <c r="F605" s="422"/>
      <c r="G605" s="416">
        <v>57.42</v>
      </c>
      <c r="H605" s="417">
        <v>2.0764999999999998</v>
      </c>
      <c r="I605" s="416">
        <f t="shared" si="156"/>
        <v>119.23</v>
      </c>
      <c r="J605" s="418">
        <f t="shared" si="157"/>
        <v>831450.41</v>
      </c>
      <c r="K605" s="419">
        <f t="shared" si="158"/>
        <v>166290.07999999999</v>
      </c>
      <c r="L605" s="420">
        <f t="shared" si="159"/>
        <v>997740.49</v>
      </c>
      <c r="M605" s="64"/>
      <c r="N605" s="77"/>
      <c r="O605" s="18"/>
      <c r="P605" s="22"/>
      <c r="Q605" s="22"/>
      <c r="R605" s="22"/>
    </row>
    <row r="606" spans="1:18" s="20" customFormat="1" ht="114.75" x14ac:dyDescent="0.2">
      <c r="A606" s="469" t="s">
        <v>526</v>
      </c>
      <c r="B606" s="422" t="s">
        <v>439</v>
      </c>
      <c r="C606" s="422">
        <v>498.6</v>
      </c>
      <c r="D606" s="422">
        <v>15</v>
      </c>
      <c r="E606" s="422">
        <f t="shared" si="155"/>
        <v>7479</v>
      </c>
      <c r="F606" s="422"/>
      <c r="G606" s="416">
        <v>57.06</v>
      </c>
      <c r="H606" s="417">
        <v>2.0764999999999998</v>
      </c>
      <c r="I606" s="416">
        <f t="shared" si="156"/>
        <v>118.49</v>
      </c>
      <c r="J606" s="418">
        <f t="shared" si="157"/>
        <v>886186.71</v>
      </c>
      <c r="K606" s="419">
        <f t="shared" si="158"/>
        <v>177237.34</v>
      </c>
      <c r="L606" s="420">
        <f t="shared" si="159"/>
        <v>1063424.05</v>
      </c>
      <c r="M606" s="64"/>
      <c r="N606" s="77"/>
      <c r="O606" s="18"/>
      <c r="P606" s="22"/>
      <c r="Q606" s="22"/>
      <c r="R606" s="22"/>
    </row>
    <row r="607" spans="1:18" s="20" customFormat="1" ht="51" x14ac:dyDescent="0.2">
      <c r="A607" s="469" t="s">
        <v>115</v>
      </c>
      <c r="B607" s="422" t="s">
        <v>355</v>
      </c>
      <c r="C607" s="416">
        <v>300</v>
      </c>
      <c r="D607" s="422">
        <v>0.3</v>
      </c>
      <c r="E607" s="422">
        <f t="shared" si="155"/>
        <v>90</v>
      </c>
      <c r="F607" s="422"/>
      <c r="G607" s="416">
        <v>769.85</v>
      </c>
      <c r="H607" s="417">
        <v>2.0764999999999998</v>
      </c>
      <c r="I607" s="416">
        <f t="shared" si="156"/>
        <v>1598.59</v>
      </c>
      <c r="J607" s="418">
        <f t="shared" si="157"/>
        <v>143873.1</v>
      </c>
      <c r="K607" s="419">
        <f t="shared" si="158"/>
        <v>28774.62</v>
      </c>
      <c r="L607" s="420">
        <f t="shared" si="159"/>
        <v>172647.72</v>
      </c>
      <c r="M607" s="64"/>
      <c r="N607" s="77"/>
      <c r="O607" s="18"/>
      <c r="P607" s="22"/>
      <c r="Q607" s="22"/>
      <c r="R607" s="22"/>
    </row>
    <row r="608" spans="1:18" s="20" customFormat="1" ht="89.25" x14ac:dyDescent="0.2">
      <c r="A608" s="386" t="s">
        <v>544</v>
      </c>
      <c r="B608" s="422" t="s">
        <v>439</v>
      </c>
      <c r="C608" s="422">
        <v>7.4</v>
      </c>
      <c r="D608" s="422">
        <v>5</v>
      </c>
      <c r="E608" s="422">
        <f t="shared" si="155"/>
        <v>37</v>
      </c>
      <c r="F608" s="422"/>
      <c r="G608" s="416">
        <v>8421.01</v>
      </c>
      <c r="H608" s="417">
        <v>2.0764999999999998</v>
      </c>
      <c r="I608" s="416">
        <f t="shared" si="156"/>
        <v>17486.23</v>
      </c>
      <c r="J608" s="418">
        <f t="shared" si="157"/>
        <v>646990.51</v>
      </c>
      <c r="K608" s="419">
        <f t="shared" si="158"/>
        <v>129398.1</v>
      </c>
      <c r="L608" s="420">
        <f t="shared" si="159"/>
        <v>776388.61</v>
      </c>
      <c r="M608" s="64"/>
      <c r="N608" s="77"/>
      <c r="O608" s="18"/>
      <c r="P608" s="22"/>
      <c r="Q608" s="22"/>
      <c r="R608" s="22"/>
    </row>
    <row r="609" spans="1:18" s="20" customFormat="1" ht="38.25" x14ac:dyDescent="0.2">
      <c r="A609" s="386" t="s">
        <v>545</v>
      </c>
      <c r="B609" s="422" t="s">
        <v>355</v>
      </c>
      <c r="C609" s="422">
        <v>100</v>
      </c>
      <c r="D609" s="422">
        <v>15</v>
      </c>
      <c r="E609" s="422">
        <f t="shared" si="155"/>
        <v>1500</v>
      </c>
      <c r="F609" s="422"/>
      <c r="G609" s="416">
        <v>209.1</v>
      </c>
      <c r="H609" s="417">
        <v>2.0764999999999998</v>
      </c>
      <c r="I609" s="416">
        <f t="shared" si="156"/>
        <v>434.2</v>
      </c>
      <c r="J609" s="418">
        <f t="shared" si="157"/>
        <v>651300</v>
      </c>
      <c r="K609" s="419">
        <f t="shared" si="158"/>
        <v>130260</v>
      </c>
      <c r="L609" s="420">
        <f t="shared" si="159"/>
        <v>781560</v>
      </c>
      <c r="M609" s="64"/>
      <c r="N609" s="77"/>
      <c r="O609" s="18"/>
      <c r="P609" s="22"/>
      <c r="Q609" s="22"/>
      <c r="R609" s="22"/>
    </row>
    <row r="610" spans="1:18" s="20" customFormat="1" ht="12.75" x14ac:dyDescent="0.2">
      <c r="A610" s="210"/>
      <c r="B610" s="210"/>
      <c r="C610" s="210"/>
      <c r="D610" s="210"/>
      <c r="E610" s="210"/>
      <c r="F610" s="210"/>
      <c r="G610" s="210"/>
      <c r="H610" s="210"/>
      <c r="I610" s="210"/>
      <c r="J610" s="211"/>
      <c r="K610" s="178"/>
      <c r="L610" s="178"/>
      <c r="M610" s="126"/>
      <c r="N610" s="109">
        <v>42126734.686652869</v>
      </c>
      <c r="O610" s="18">
        <v>162089491.24171427</v>
      </c>
      <c r="P610" s="22"/>
      <c r="Q610" s="22"/>
      <c r="R610" s="22"/>
    </row>
    <row r="611" spans="1:18" ht="12.75" x14ac:dyDescent="0.2">
      <c r="N611" s="108"/>
    </row>
    <row r="612" spans="1:18" x14ac:dyDescent="0.2">
      <c r="N612" s="4" t="e">
        <f>N611-#REF!</f>
        <v>#REF!</v>
      </c>
    </row>
  </sheetData>
  <mergeCells count="14">
    <mergeCell ref="K5:K7"/>
    <mergeCell ref="L5:L7"/>
    <mergeCell ref="F2:L2"/>
    <mergeCell ref="A4:L4"/>
    <mergeCell ref="A5:A7"/>
    <mergeCell ref="B5:B7"/>
    <mergeCell ref="C5:C7"/>
    <mergeCell ref="D5:D7"/>
    <mergeCell ref="E5:E7"/>
    <mergeCell ref="F5:F7"/>
    <mergeCell ref="J5:J7"/>
    <mergeCell ref="G5:G7"/>
    <mergeCell ref="H5:H7"/>
    <mergeCell ref="I5:I7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0" fitToHeight="7" orientation="landscape" r:id="rId1"/>
  <rowBreaks count="4" manualBreakCount="4">
    <brk id="14" max="16383" man="1"/>
    <brk id="86" max="16383" man="1"/>
    <brk id="581" max="16383" man="1"/>
    <brk id="610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962"/>
  <sheetViews>
    <sheetView zoomScale="110" zoomScaleNormal="110" zoomScaleSheetLayoutView="100" workbookViewId="0">
      <pane ySplit="3675" topLeftCell="A560" activePane="bottomLeft"/>
      <selection activeCell="P550" sqref="P550"/>
      <selection pane="bottomLeft" activeCell="G561" sqref="G561"/>
    </sheetView>
  </sheetViews>
  <sheetFormatPr defaultRowHeight="12" x14ac:dyDescent="0.2"/>
  <cols>
    <col min="1" max="1" width="4.5703125" style="185" customWidth="1"/>
    <col min="2" max="2" width="6.7109375" style="20" customWidth="1"/>
    <col min="3" max="3" width="28.42578125" style="22" customWidth="1"/>
    <col min="4" max="4" width="12.85546875" style="185" customWidth="1"/>
    <col min="5" max="5" width="10" style="205" customWidth="1"/>
    <col min="6" max="6" width="8.140625" style="216" customWidth="1"/>
    <col min="7" max="7" width="10.5703125" style="193" customWidth="1"/>
    <col min="8" max="8" width="0.140625" style="193" hidden="1" customWidth="1"/>
    <col min="9" max="9" width="14" style="193" hidden="1" customWidth="1"/>
    <col min="10" max="10" width="13.140625" style="187" customWidth="1"/>
    <col min="11" max="11" width="14.5703125" style="187" customWidth="1"/>
    <col min="12" max="12" width="14" style="193" customWidth="1"/>
    <col min="13" max="13" width="15" style="193" customWidth="1"/>
    <col min="14" max="24" width="17" style="193" customWidth="1"/>
    <col min="25" max="25" width="16" style="4" customWidth="1"/>
    <col min="26" max="26" width="18" style="4" customWidth="1"/>
    <col min="27" max="27" width="15.85546875" style="1" customWidth="1"/>
    <col min="28" max="28" width="20" style="8" customWidth="1"/>
    <col min="29" max="29" width="17.28515625" style="8" bestFit="1" customWidth="1"/>
    <col min="30" max="30" width="21.28515625" style="8" customWidth="1"/>
    <col min="31" max="31" width="19.28515625" style="1" customWidth="1"/>
    <col min="32" max="33" width="12.28515625" style="1" bestFit="1" customWidth="1"/>
    <col min="34" max="16384" width="9.140625" style="1"/>
  </cols>
  <sheetData>
    <row r="1" spans="1:31" ht="12.75" x14ac:dyDescent="0.2">
      <c r="A1" s="274"/>
      <c r="B1" s="275"/>
      <c r="C1" s="276"/>
      <c r="D1" s="274"/>
      <c r="E1" s="277"/>
      <c r="F1" s="278"/>
      <c r="G1" s="279"/>
      <c r="H1" s="279"/>
      <c r="I1" s="279"/>
      <c r="J1" s="280"/>
      <c r="K1" s="280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5"/>
      <c r="Z1" s="5"/>
    </row>
    <row r="2" spans="1:31" ht="12.75" x14ac:dyDescent="0.2">
      <c r="A2" s="74"/>
      <c r="B2" s="198"/>
      <c r="C2" s="199"/>
      <c r="D2" s="74"/>
      <c r="E2" s="200"/>
      <c r="F2" s="201"/>
      <c r="G2" s="202"/>
      <c r="H2" s="578" t="s">
        <v>5</v>
      </c>
      <c r="I2" s="578"/>
      <c r="J2" s="578"/>
      <c r="K2" s="578"/>
      <c r="L2" s="578"/>
      <c r="M2" s="578"/>
      <c r="N2" s="578"/>
      <c r="O2" s="491"/>
      <c r="P2" s="491"/>
      <c r="Q2" s="491"/>
      <c r="R2" s="491"/>
      <c r="S2" s="491"/>
      <c r="T2" s="491"/>
      <c r="U2" s="491"/>
      <c r="V2" s="491"/>
      <c r="W2" s="491"/>
      <c r="X2" s="491"/>
      <c r="Y2" s="127"/>
      <c r="Z2" s="127"/>
    </row>
    <row r="3" spans="1:31" ht="12.75" x14ac:dyDescent="0.2">
      <c r="A3" s="74"/>
      <c r="B3" s="281"/>
      <c r="C3" s="74"/>
      <c r="D3" s="74"/>
      <c r="E3" s="200"/>
      <c r="F3" s="201"/>
      <c r="G3" s="202"/>
      <c r="H3" s="202"/>
      <c r="I3" s="202"/>
      <c r="J3" s="203"/>
      <c r="K3" s="203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6"/>
      <c r="Z3" s="6"/>
    </row>
    <row r="4" spans="1:31" ht="39.75" customHeight="1" x14ac:dyDescent="0.2">
      <c r="A4" s="579" t="s">
        <v>45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128"/>
      <c r="Z4" s="128"/>
    </row>
    <row r="5" spans="1:31" s="2" customFormat="1" ht="12.75" x14ac:dyDescent="0.2">
      <c r="A5" s="580" t="s">
        <v>96</v>
      </c>
      <c r="B5" s="581" t="s">
        <v>98</v>
      </c>
      <c r="C5" s="581" t="s">
        <v>97</v>
      </c>
      <c r="D5" s="581" t="s">
        <v>99</v>
      </c>
      <c r="E5" s="582" t="s">
        <v>100</v>
      </c>
      <c r="F5" s="583" t="s">
        <v>101</v>
      </c>
      <c r="G5" s="582" t="s">
        <v>102</v>
      </c>
      <c r="H5" s="575" t="s">
        <v>420</v>
      </c>
      <c r="I5" s="575" t="s">
        <v>462</v>
      </c>
      <c r="J5" s="584" t="s">
        <v>340</v>
      </c>
      <c r="K5" s="584" t="s">
        <v>46</v>
      </c>
      <c r="L5" s="575" t="s">
        <v>418</v>
      </c>
      <c r="M5" s="575" t="s">
        <v>419</v>
      </c>
      <c r="N5" s="575" t="s">
        <v>136</v>
      </c>
      <c r="O5" s="489"/>
      <c r="P5" s="489"/>
      <c r="Q5" s="489"/>
      <c r="R5" s="489"/>
      <c r="S5" s="489"/>
      <c r="T5" s="489"/>
      <c r="U5" s="489"/>
      <c r="V5" s="489"/>
      <c r="W5" s="489"/>
      <c r="X5" s="489"/>
      <c r="Y5" s="117"/>
      <c r="Z5" s="129"/>
      <c r="AA5" s="7"/>
      <c r="AB5" s="8"/>
      <c r="AC5" s="8"/>
      <c r="AD5" s="8"/>
    </row>
    <row r="6" spans="1:31" ht="12.75" x14ac:dyDescent="0.2">
      <c r="A6" s="580"/>
      <c r="B6" s="581"/>
      <c r="C6" s="581"/>
      <c r="D6" s="581"/>
      <c r="E6" s="582"/>
      <c r="F6" s="583"/>
      <c r="G6" s="582"/>
      <c r="H6" s="576"/>
      <c r="I6" s="576"/>
      <c r="J6" s="585"/>
      <c r="K6" s="585"/>
      <c r="L6" s="576"/>
      <c r="M6" s="576"/>
      <c r="N6" s="576"/>
      <c r="O6" s="490"/>
      <c r="P6" s="490"/>
      <c r="Q6" s="490"/>
      <c r="R6" s="490"/>
      <c r="S6" s="490"/>
      <c r="T6" s="490"/>
      <c r="U6" s="490"/>
      <c r="V6" s="490"/>
      <c r="W6" s="490"/>
      <c r="X6" s="490"/>
      <c r="Y6" s="118"/>
      <c r="Z6" s="130"/>
      <c r="AA6" s="3"/>
      <c r="AB6" s="508"/>
      <c r="AC6" s="508"/>
    </row>
    <row r="7" spans="1:31" s="14" customFormat="1" ht="77.25" customHeight="1" x14ac:dyDescent="0.2">
      <c r="A7" s="580"/>
      <c r="B7" s="581"/>
      <c r="C7" s="581"/>
      <c r="D7" s="581"/>
      <c r="E7" s="582"/>
      <c r="F7" s="583"/>
      <c r="G7" s="582"/>
      <c r="H7" s="577"/>
      <c r="I7" s="577"/>
      <c r="J7" s="586"/>
      <c r="K7" s="586"/>
      <c r="L7" s="577"/>
      <c r="M7" s="577"/>
      <c r="N7" s="577"/>
      <c r="O7" s="488"/>
      <c r="P7" s="488"/>
      <c r="Q7" s="488"/>
      <c r="R7" s="488"/>
      <c r="S7" s="488"/>
      <c r="T7" s="488"/>
      <c r="U7" s="488"/>
      <c r="V7" s="488"/>
      <c r="W7" s="488"/>
      <c r="X7" s="488"/>
      <c r="Y7" s="488" t="s">
        <v>408</v>
      </c>
      <c r="Z7" s="501" t="s">
        <v>409</v>
      </c>
      <c r="AA7" s="12" t="s">
        <v>73</v>
      </c>
      <c r="AB7" s="509" t="s">
        <v>74</v>
      </c>
      <c r="AC7" s="16" t="s">
        <v>75</v>
      </c>
      <c r="AD7" s="13"/>
    </row>
    <row r="8" spans="1:31" s="14" customFormat="1" ht="12.75" x14ac:dyDescent="0.2">
      <c r="A8" s="282">
        <v>1</v>
      </c>
      <c r="B8" s="282">
        <v>2</v>
      </c>
      <c r="C8" s="282">
        <v>3</v>
      </c>
      <c r="D8" s="282">
        <v>4</v>
      </c>
      <c r="E8" s="282">
        <v>5</v>
      </c>
      <c r="F8" s="282">
        <v>6</v>
      </c>
      <c r="G8" s="282">
        <v>7</v>
      </c>
      <c r="H8" s="282"/>
      <c r="I8" s="282"/>
      <c r="J8" s="282"/>
      <c r="K8" s="282">
        <v>8</v>
      </c>
      <c r="L8" s="282">
        <v>9</v>
      </c>
      <c r="M8" s="282">
        <v>10</v>
      </c>
      <c r="N8" s="282">
        <v>11</v>
      </c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15"/>
      <c r="Z8" s="15"/>
      <c r="AA8" s="12"/>
      <c r="AB8" s="192"/>
      <c r="AC8" s="16"/>
      <c r="AD8" s="13"/>
    </row>
    <row r="9" spans="1:31" s="20" customFormat="1" ht="12.75" hidden="1" x14ac:dyDescent="0.2">
      <c r="A9" s="283"/>
      <c r="B9" s="284"/>
      <c r="C9" s="175" t="s">
        <v>145</v>
      </c>
      <c r="D9" s="284"/>
      <c r="E9" s="284"/>
      <c r="F9" s="284"/>
      <c r="G9" s="284"/>
      <c r="H9" s="284"/>
      <c r="I9" s="284"/>
      <c r="J9" s="284"/>
      <c r="K9" s="284"/>
      <c r="L9" s="284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511">
        <f>Y55+AB10</f>
        <v>5545808.5799999991</v>
      </c>
      <c r="Z9" s="502">
        <f>Y78+AB11</f>
        <v>8852172.3750000019</v>
      </c>
      <c r="AA9" s="503"/>
      <c r="AB9" s="507">
        <f>Y199</f>
        <v>853837.12999999942</v>
      </c>
      <c r="AC9" s="510">
        <f>Y225</f>
        <v>72020.48000000001</v>
      </c>
      <c r="AD9" s="60">
        <f>Z9+Y9</f>
        <v>14397980.955000002</v>
      </c>
    </row>
    <row r="10" spans="1:31" s="20" customFormat="1" ht="25.5" hidden="1" x14ac:dyDescent="0.2">
      <c r="A10" s="283"/>
      <c r="B10" s="285"/>
      <c r="C10" s="219" t="s">
        <v>143</v>
      </c>
      <c r="D10" s="286"/>
      <c r="E10" s="286"/>
      <c r="F10" s="287"/>
      <c r="G10" s="286"/>
      <c r="H10" s="288"/>
      <c r="I10" s="288"/>
      <c r="J10" s="289"/>
      <c r="K10" s="289"/>
      <c r="L10" s="288"/>
      <c r="M10" s="288"/>
      <c r="N10" s="290"/>
      <c r="O10" s="513"/>
      <c r="P10" s="513"/>
      <c r="Q10" s="513"/>
      <c r="R10" s="513"/>
      <c r="S10" s="513"/>
      <c r="T10" s="513"/>
      <c r="U10" s="513"/>
      <c r="V10" s="513"/>
      <c r="W10" s="513"/>
      <c r="X10" s="513"/>
      <c r="Y10" s="253"/>
      <c r="Z10" s="172"/>
      <c r="AA10" s="171"/>
      <c r="AB10" s="21">
        <v>426918.56</v>
      </c>
      <c r="AC10" s="22"/>
      <c r="AD10" s="60">
        <f>AD9*0.4</f>
        <v>5759192.3820000011</v>
      </c>
    </row>
    <row r="11" spans="1:31" s="20" customFormat="1" ht="25.5" hidden="1" x14ac:dyDescent="0.2">
      <c r="A11" s="283"/>
      <c r="B11" s="291"/>
      <c r="C11" s="219" t="s">
        <v>147</v>
      </c>
      <c r="D11" s="292"/>
      <c r="E11" s="170"/>
      <c r="F11" s="282"/>
      <c r="G11" s="167"/>
      <c r="H11" s="293"/>
      <c r="I11" s="293"/>
      <c r="J11" s="293"/>
      <c r="K11" s="293"/>
      <c r="L11" s="167"/>
      <c r="M11" s="167"/>
      <c r="N11" s="177"/>
      <c r="O11" s="514"/>
      <c r="P11" s="514"/>
      <c r="Q11" s="514"/>
      <c r="R11" s="514"/>
      <c r="S11" s="514"/>
      <c r="T11" s="514"/>
      <c r="U11" s="514"/>
      <c r="V11" s="514"/>
      <c r="W11" s="514"/>
      <c r="X11" s="514"/>
      <c r="Y11" s="193"/>
      <c r="Z11" s="23"/>
      <c r="AA11" s="171"/>
      <c r="AB11" s="21">
        <v>426918.56499999971</v>
      </c>
      <c r="AC11" s="19"/>
      <c r="AD11" s="24">
        <f>AD9*0.6</f>
        <v>8638788.5730000008</v>
      </c>
      <c r="AE11" s="25"/>
    </row>
    <row r="12" spans="1:31" s="20" customFormat="1" ht="51" hidden="1" x14ac:dyDescent="0.2">
      <c r="A12" s="294">
        <v>1</v>
      </c>
      <c r="B12" s="257" t="s">
        <v>456</v>
      </c>
      <c r="C12" s="295" t="s">
        <v>457</v>
      </c>
      <c r="D12" s="296" t="s">
        <v>519</v>
      </c>
      <c r="E12" s="296">
        <v>100</v>
      </c>
      <c r="F12" s="296">
        <v>1</v>
      </c>
      <c r="G12" s="297">
        <f>ROUND(E12*F12,2)</f>
        <v>100</v>
      </c>
      <c r="H12" s="298"/>
      <c r="I12" s="299">
        <v>8.6572999999999993</v>
      </c>
      <c r="J12" s="300">
        <v>1.9442999999999999</v>
      </c>
      <c r="K12" s="299">
        <f>ROUND(I12*J12,2)</f>
        <v>16.829999999999998</v>
      </c>
      <c r="L12" s="301">
        <f>ROUND(K12*G12,2)</f>
        <v>1683</v>
      </c>
      <c r="M12" s="299">
        <f t="shared" ref="M12:M22" si="0">ROUND(L12*0.2,2)</f>
        <v>336.6</v>
      </c>
      <c r="N12" s="250">
        <f t="shared" ref="N12:N22" si="1">ROUND(M12+L12,2)</f>
        <v>2019.6</v>
      </c>
      <c r="O12" s="515"/>
      <c r="P12" s="515"/>
      <c r="Q12" s="515"/>
      <c r="R12" s="515"/>
      <c r="S12" s="515"/>
      <c r="T12" s="515"/>
      <c r="U12" s="515"/>
      <c r="V12" s="515"/>
      <c r="W12" s="515"/>
      <c r="X12" s="515"/>
      <c r="Y12" s="193"/>
      <c r="Z12" s="23"/>
      <c r="AA12" s="18"/>
      <c r="AB12" s="21"/>
      <c r="AC12" s="19"/>
      <c r="AD12" s="24"/>
      <c r="AE12" s="25"/>
    </row>
    <row r="13" spans="1:31" s="20" customFormat="1" ht="51" hidden="1" x14ac:dyDescent="0.2">
      <c r="A13" s="294">
        <f t="shared" ref="A13:A23" si="2">A12+1</f>
        <v>2</v>
      </c>
      <c r="B13" s="257" t="s">
        <v>458</v>
      </c>
      <c r="C13" s="295" t="s">
        <v>459</v>
      </c>
      <c r="D13" s="296" t="s">
        <v>432</v>
      </c>
      <c r="E13" s="296">
        <v>1</v>
      </c>
      <c r="F13" s="296">
        <v>1</v>
      </c>
      <c r="G13" s="297">
        <f>ROUND(E13*F13,2)</f>
        <v>1</v>
      </c>
      <c r="H13" s="298"/>
      <c r="I13" s="299">
        <v>55423.41</v>
      </c>
      <c r="J13" s="300">
        <v>1.9442999999999999</v>
      </c>
      <c r="K13" s="299">
        <f t="shared" ref="K13:K22" si="3">ROUND(I13*J13,2)</f>
        <v>107759.74</v>
      </c>
      <c r="L13" s="301">
        <f>ROUND(K13*G13,2)</f>
        <v>107759.74</v>
      </c>
      <c r="M13" s="299">
        <f t="shared" si="0"/>
        <v>21551.95</v>
      </c>
      <c r="N13" s="250">
        <f t="shared" si="1"/>
        <v>129311.69</v>
      </c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23"/>
      <c r="Z13" s="23"/>
      <c r="AA13" s="18"/>
      <c r="AB13" s="21"/>
      <c r="AC13" s="19"/>
      <c r="AD13" s="24"/>
      <c r="AE13" s="25"/>
    </row>
    <row r="14" spans="1:31" s="20" customFormat="1" ht="51" hidden="1" x14ac:dyDescent="0.2">
      <c r="A14" s="294">
        <f t="shared" si="2"/>
        <v>3</v>
      </c>
      <c r="B14" s="257" t="s">
        <v>460</v>
      </c>
      <c r="C14" s="295" t="s">
        <v>461</v>
      </c>
      <c r="D14" s="296" t="s">
        <v>432</v>
      </c>
      <c r="E14" s="296">
        <v>1</v>
      </c>
      <c r="F14" s="296">
        <v>1</v>
      </c>
      <c r="G14" s="297">
        <f>ROUND(E14*F14,2)</f>
        <v>1</v>
      </c>
      <c r="H14" s="298"/>
      <c r="I14" s="299">
        <v>1959.47</v>
      </c>
      <c r="J14" s="300">
        <v>1.9442999999999999</v>
      </c>
      <c r="K14" s="299">
        <f t="shared" si="3"/>
        <v>3809.8</v>
      </c>
      <c r="L14" s="301">
        <f>ROUND(K14*G14,2)</f>
        <v>3809.8</v>
      </c>
      <c r="M14" s="299">
        <f t="shared" si="0"/>
        <v>761.96</v>
      </c>
      <c r="N14" s="250">
        <f t="shared" si="1"/>
        <v>4571.76</v>
      </c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23"/>
      <c r="Z14" s="23"/>
      <c r="AA14" s="18"/>
      <c r="AB14" s="21"/>
      <c r="AC14" s="19"/>
      <c r="AD14" s="24"/>
      <c r="AE14" s="25"/>
    </row>
    <row r="15" spans="1:31" s="20" customFormat="1" ht="76.5" hidden="1" x14ac:dyDescent="0.2">
      <c r="A15" s="294">
        <f t="shared" si="2"/>
        <v>4</v>
      </c>
      <c r="B15" s="257" t="s">
        <v>148</v>
      </c>
      <c r="C15" s="302" t="s">
        <v>76</v>
      </c>
      <c r="D15" s="254" t="s">
        <v>421</v>
      </c>
      <c r="E15" s="254">
        <v>61.776000000000003</v>
      </c>
      <c r="F15" s="254">
        <v>1</v>
      </c>
      <c r="G15" s="254">
        <f t="shared" ref="G15:G23" si="4">ROUND(E15*F15,2)</f>
        <v>61.78</v>
      </c>
      <c r="H15" s="299"/>
      <c r="I15" s="303">
        <v>343.08</v>
      </c>
      <c r="J15" s="300">
        <v>1.9442999999999999</v>
      </c>
      <c r="K15" s="299">
        <f t="shared" si="3"/>
        <v>667.05</v>
      </c>
      <c r="L15" s="301">
        <f t="shared" ref="L15:L22" si="5">ROUND(K15*G15,2)</f>
        <v>41210.35</v>
      </c>
      <c r="M15" s="299">
        <f t="shared" si="0"/>
        <v>8242.07</v>
      </c>
      <c r="N15" s="250">
        <f t="shared" si="1"/>
        <v>49452.42</v>
      </c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64"/>
      <c r="Z15" s="9"/>
      <c r="AA15" s="79"/>
      <c r="AB15" s="26"/>
      <c r="AC15" s="22"/>
      <c r="AD15" s="22"/>
    </row>
    <row r="16" spans="1:31" s="20" customFormat="1" ht="48.75" hidden="1" customHeight="1" x14ac:dyDescent="0.2">
      <c r="A16" s="294">
        <f t="shared" si="2"/>
        <v>5</v>
      </c>
      <c r="B16" s="257" t="s">
        <v>150</v>
      </c>
      <c r="C16" s="304" t="s">
        <v>149</v>
      </c>
      <c r="D16" s="254" t="s">
        <v>421</v>
      </c>
      <c r="E16" s="254">
        <v>182.04</v>
      </c>
      <c r="F16" s="254">
        <v>3</v>
      </c>
      <c r="G16" s="254">
        <f>ROUND(E16*F16,2)</f>
        <v>546.12</v>
      </c>
      <c r="H16" s="299"/>
      <c r="I16" s="303">
        <v>188.57</v>
      </c>
      <c r="J16" s="300">
        <v>1.9442999999999999</v>
      </c>
      <c r="K16" s="299">
        <f t="shared" si="3"/>
        <v>366.64</v>
      </c>
      <c r="L16" s="301">
        <f t="shared" si="5"/>
        <v>200229.44</v>
      </c>
      <c r="M16" s="299">
        <f t="shared" si="0"/>
        <v>40045.89</v>
      </c>
      <c r="N16" s="250">
        <f t="shared" si="1"/>
        <v>240275.33</v>
      </c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64"/>
      <c r="Z16" s="9"/>
      <c r="AA16" s="79"/>
      <c r="AB16" s="26"/>
      <c r="AC16" s="22"/>
      <c r="AD16" s="22"/>
    </row>
    <row r="17" spans="1:30" s="20" customFormat="1" ht="93" hidden="1" customHeight="1" x14ac:dyDescent="0.2">
      <c r="A17" s="294">
        <f t="shared" si="2"/>
        <v>6</v>
      </c>
      <c r="B17" s="257" t="s">
        <v>150</v>
      </c>
      <c r="C17" s="257" t="s">
        <v>78</v>
      </c>
      <c r="D17" s="254" t="s">
        <v>421</v>
      </c>
      <c r="E17" s="254">
        <v>378.48</v>
      </c>
      <c r="F17" s="254">
        <v>2</v>
      </c>
      <c r="G17" s="254">
        <f t="shared" si="4"/>
        <v>756.96</v>
      </c>
      <c r="H17" s="299"/>
      <c r="I17" s="303">
        <v>188.57</v>
      </c>
      <c r="J17" s="300">
        <v>1.9442999999999999</v>
      </c>
      <c r="K17" s="299">
        <f t="shared" si="3"/>
        <v>366.64</v>
      </c>
      <c r="L17" s="301">
        <f t="shared" si="5"/>
        <v>277531.81</v>
      </c>
      <c r="M17" s="299">
        <f t="shared" si="0"/>
        <v>55506.36</v>
      </c>
      <c r="N17" s="250">
        <f t="shared" si="1"/>
        <v>333038.17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64"/>
      <c r="Z17" s="9"/>
      <c r="AA17" s="79"/>
      <c r="AB17" s="26"/>
      <c r="AC17" s="22"/>
      <c r="AD17" s="22"/>
    </row>
    <row r="18" spans="1:30" s="20" customFormat="1" ht="130.5" hidden="1" customHeight="1" x14ac:dyDescent="0.2">
      <c r="A18" s="294">
        <f t="shared" si="2"/>
        <v>7</v>
      </c>
      <c r="B18" s="257" t="s">
        <v>150</v>
      </c>
      <c r="C18" s="257" t="s">
        <v>79</v>
      </c>
      <c r="D18" s="254" t="s">
        <v>421</v>
      </c>
      <c r="E18" s="305">
        <v>57.24</v>
      </c>
      <c r="F18" s="305">
        <v>1</v>
      </c>
      <c r="G18" s="305">
        <f t="shared" si="4"/>
        <v>57.24</v>
      </c>
      <c r="H18" s="299"/>
      <c r="I18" s="303">
        <v>188.57</v>
      </c>
      <c r="J18" s="300">
        <v>1.9442999999999999</v>
      </c>
      <c r="K18" s="299">
        <f t="shared" si="3"/>
        <v>366.64</v>
      </c>
      <c r="L18" s="301">
        <f t="shared" si="5"/>
        <v>20986.47</v>
      </c>
      <c r="M18" s="299">
        <f t="shared" si="0"/>
        <v>4197.29</v>
      </c>
      <c r="N18" s="250">
        <f t="shared" si="1"/>
        <v>25183.759999999998</v>
      </c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64"/>
      <c r="Z18" s="9"/>
      <c r="AA18" s="79"/>
      <c r="AB18" s="26"/>
      <c r="AC18" s="22"/>
      <c r="AD18" s="22"/>
    </row>
    <row r="19" spans="1:30" s="20" customFormat="1" ht="76.5" hidden="1" x14ac:dyDescent="0.2">
      <c r="A19" s="294">
        <f t="shared" si="2"/>
        <v>8</v>
      </c>
      <c r="B19" s="257" t="s">
        <v>151</v>
      </c>
      <c r="C19" s="257" t="s">
        <v>64</v>
      </c>
      <c r="D19" s="254" t="s">
        <v>411</v>
      </c>
      <c r="E19" s="254">
        <f>20.08+4.61+0.42</f>
        <v>25.11</v>
      </c>
      <c r="F19" s="254">
        <v>2</v>
      </c>
      <c r="G19" s="305">
        <f t="shared" si="4"/>
        <v>50.22</v>
      </c>
      <c r="H19" s="299"/>
      <c r="I19" s="303">
        <v>44.32</v>
      </c>
      <c r="J19" s="300">
        <v>1.9442999999999999</v>
      </c>
      <c r="K19" s="299">
        <f t="shared" si="3"/>
        <v>86.17</v>
      </c>
      <c r="L19" s="301">
        <f t="shared" si="5"/>
        <v>4327.46</v>
      </c>
      <c r="M19" s="299">
        <f t="shared" si="0"/>
        <v>865.49</v>
      </c>
      <c r="N19" s="250">
        <f>ROUND(M19+L19,2)</f>
        <v>5192.95</v>
      </c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>
        <f>950/3</f>
        <v>316.66666666666669</v>
      </c>
      <c r="Z19" s="9"/>
      <c r="AA19" s="79"/>
      <c r="AB19" s="26"/>
      <c r="AC19" s="22"/>
      <c r="AD19" s="22"/>
    </row>
    <row r="20" spans="1:30" s="20" customFormat="1" ht="76.5" hidden="1" x14ac:dyDescent="0.2">
      <c r="A20" s="294">
        <f t="shared" si="2"/>
        <v>9</v>
      </c>
      <c r="B20" s="257" t="s">
        <v>152</v>
      </c>
      <c r="C20" s="257" t="s">
        <v>80</v>
      </c>
      <c r="D20" s="254" t="s">
        <v>411</v>
      </c>
      <c r="E20" s="254">
        <v>10.86</v>
      </c>
      <c r="F20" s="254">
        <v>2</v>
      </c>
      <c r="G20" s="305">
        <f t="shared" si="4"/>
        <v>21.72</v>
      </c>
      <c r="H20" s="299"/>
      <c r="I20" s="303">
        <v>66.5</v>
      </c>
      <c r="J20" s="300">
        <v>1.9442999999999999</v>
      </c>
      <c r="K20" s="299">
        <f t="shared" si="3"/>
        <v>129.30000000000001</v>
      </c>
      <c r="L20" s="301">
        <f t="shared" si="5"/>
        <v>2808.4</v>
      </c>
      <c r="M20" s="299">
        <f t="shared" si="0"/>
        <v>561.67999999999995</v>
      </c>
      <c r="N20" s="250">
        <f t="shared" si="1"/>
        <v>3370.08</v>
      </c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64"/>
      <c r="Z20" s="9"/>
      <c r="AA20" s="79"/>
      <c r="AB20" s="26"/>
      <c r="AC20" s="22"/>
      <c r="AD20" s="22"/>
    </row>
    <row r="21" spans="1:30" s="20" customFormat="1" ht="76.5" hidden="1" x14ac:dyDescent="0.2">
      <c r="A21" s="294">
        <f t="shared" si="2"/>
        <v>10</v>
      </c>
      <c r="B21" s="257" t="s">
        <v>153</v>
      </c>
      <c r="C21" s="257" t="s">
        <v>316</v>
      </c>
      <c r="D21" s="254" t="s">
        <v>422</v>
      </c>
      <c r="E21" s="254">
        <v>4</v>
      </c>
      <c r="F21" s="254">
        <v>3</v>
      </c>
      <c r="G21" s="254">
        <f t="shared" si="4"/>
        <v>12</v>
      </c>
      <c r="H21" s="299"/>
      <c r="I21" s="303">
        <v>218.45</v>
      </c>
      <c r="J21" s="300">
        <v>1.9442999999999999</v>
      </c>
      <c r="K21" s="299">
        <f t="shared" si="3"/>
        <v>424.73</v>
      </c>
      <c r="L21" s="301">
        <f>ROUND(K21*G21,2)</f>
        <v>5096.76</v>
      </c>
      <c r="M21" s="299">
        <f t="shared" si="0"/>
        <v>1019.35</v>
      </c>
      <c r="N21" s="250">
        <f t="shared" si="1"/>
        <v>6116.11</v>
      </c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64"/>
      <c r="Z21" s="9"/>
      <c r="AA21" s="79"/>
      <c r="AB21" s="26"/>
      <c r="AC21" s="22"/>
      <c r="AD21" s="22"/>
    </row>
    <row r="22" spans="1:30" s="20" customFormat="1" ht="76.5" hidden="1" customHeight="1" x14ac:dyDescent="0.2">
      <c r="A22" s="294">
        <f t="shared" si="2"/>
        <v>11</v>
      </c>
      <c r="B22" s="257" t="s">
        <v>154</v>
      </c>
      <c r="C22" s="257" t="s">
        <v>106</v>
      </c>
      <c r="D22" s="254" t="s">
        <v>421</v>
      </c>
      <c r="E22" s="254">
        <v>280.26</v>
      </c>
      <c r="F22" s="254">
        <v>2</v>
      </c>
      <c r="G22" s="254">
        <f t="shared" si="4"/>
        <v>560.52</v>
      </c>
      <c r="H22" s="299"/>
      <c r="I22" s="303">
        <v>241.57</v>
      </c>
      <c r="J22" s="300">
        <v>1.9442999999999999</v>
      </c>
      <c r="K22" s="299">
        <f t="shared" si="3"/>
        <v>469.68</v>
      </c>
      <c r="L22" s="301">
        <f t="shared" si="5"/>
        <v>263265.03000000003</v>
      </c>
      <c r="M22" s="299">
        <f t="shared" si="0"/>
        <v>52653.01</v>
      </c>
      <c r="N22" s="250">
        <f t="shared" si="1"/>
        <v>315918.03999999998</v>
      </c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64"/>
      <c r="Z22" s="9"/>
      <c r="AA22" s="79"/>
      <c r="AB22" s="26"/>
      <c r="AC22" s="22"/>
      <c r="AD22" s="22"/>
    </row>
    <row r="23" spans="1:30" s="20" customFormat="1" ht="90" hidden="1" customHeight="1" x14ac:dyDescent="0.2">
      <c r="A23" s="294">
        <f t="shared" si="2"/>
        <v>12</v>
      </c>
      <c r="B23" s="257" t="s">
        <v>505</v>
      </c>
      <c r="C23" s="257" t="s">
        <v>504</v>
      </c>
      <c r="D23" s="254" t="s">
        <v>355</v>
      </c>
      <c r="E23" s="254">
        <v>5</v>
      </c>
      <c r="F23" s="254">
        <v>2</v>
      </c>
      <c r="G23" s="254">
        <f t="shared" si="4"/>
        <v>10</v>
      </c>
      <c r="H23" s="299"/>
      <c r="I23" s="306"/>
      <c r="J23" s="300"/>
      <c r="K23" s="299">
        <v>4405.2299999999996</v>
      </c>
      <c r="L23" s="301">
        <f>ROUND(K23*G23,2)</f>
        <v>44052.3</v>
      </c>
      <c r="M23" s="299">
        <f>ROUND(L23*0.2,2)</f>
        <v>8810.4599999999991</v>
      </c>
      <c r="N23" s="250">
        <f>ROUND(M23+L23,2)</f>
        <v>52862.76</v>
      </c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64"/>
      <c r="Z23" s="9"/>
      <c r="AA23" s="79"/>
      <c r="AB23" s="26"/>
      <c r="AC23" s="22"/>
      <c r="AD23" s="22"/>
    </row>
    <row r="24" spans="1:30" s="20" customFormat="1" ht="12.75" hidden="1" x14ac:dyDescent="0.2">
      <c r="A24" s="294"/>
      <c r="B24" s="307"/>
      <c r="C24" s="219" t="s">
        <v>81</v>
      </c>
      <c r="D24" s="254"/>
      <c r="E24" s="254"/>
      <c r="F24" s="254"/>
      <c r="G24" s="254"/>
      <c r="H24" s="254"/>
      <c r="I24" s="303"/>
      <c r="J24" s="300"/>
      <c r="K24" s="299"/>
      <c r="L24" s="301"/>
      <c r="M24" s="299"/>
      <c r="N24" s="250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64"/>
      <c r="Z24" s="9"/>
      <c r="AA24" s="18"/>
      <c r="AB24" s="26"/>
      <c r="AC24" s="22"/>
      <c r="AD24" s="22"/>
    </row>
    <row r="25" spans="1:30" s="20" customFormat="1" ht="93.75" hidden="1" customHeight="1" x14ac:dyDescent="0.2">
      <c r="A25" s="294">
        <f>A23+1</f>
        <v>13</v>
      </c>
      <c r="B25" s="257" t="s">
        <v>155</v>
      </c>
      <c r="C25" s="257" t="s">
        <v>107</v>
      </c>
      <c r="D25" s="254" t="s">
        <v>411</v>
      </c>
      <c r="E25" s="254">
        <f>23.43*0.2</f>
        <v>4.6859999999999999</v>
      </c>
      <c r="F25" s="308">
        <v>1</v>
      </c>
      <c r="G25" s="254">
        <f t="shared" ref="G25:G31" si="6">ROUND(E25*F25,2)</f>
        <v>4.6900000000000004</v>
      </c>
      <c r="H25" s="299"/>
      <c r="I25" s="303">
        <v>64649.39</v>
      </c>
      <c r="J25" s="300">
        <v>1.9442999999999999</v>
      </c>
      <c r="K25" s="299">
        <f t="shared" ref="K25:K31" si="7">ROUND(I25*J25,2)</f>
        <v>125697.81</v>
      </c>
      <c r="L25" s="301">
        <f t="shared" ref="L25:L31" si="8">ROUND(K25*G25,2)</f>
        <v>589522.73</v>
      </c>
      <c r="M25" s="299">
        <f t="shared" ref="M25:M31" si="9">ROUND(L25*0.2,2)</f>
        <v>117904.55</v>
      </c>
      <c r="N25" s="250">
        <f t="shared" ref="N25:N31" si="10">ROUND(M25+L25,2)</f>
        <v>707427.28</v>
      </c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62"/>
      <c r="Z25" s="9"/>
      <c r="AA25" s="79"/>
      <c r="AB25" s="26"/>
      <c r="AC25" s="22">
        <f>1854.7+1937.2</f>
        <v>3791.9</v>
      </c>
      <c r="AD25" s="22">
        <f>AC25*0.0005*1000</f>
        <v>1895.95</v>
      </c>
    </row>
    <row r="26" spans="1:30" s="20" customFormat="1" ht="128.25" hidden="1" customHeight="1" x14ac:dyDescent="0.2">
      <c r="A26" s="294">
        <f>A25+1</f>
        <v>14</v>
      </c>
      <c r="B26" s="257" t="s">
        <v>156</v>
      </c>
      <c r="C26" s="257" t="s">
        <v>108</v>
      </c>
      <c r="D26" s="254" t="s">
        <v>411</v>
      </c>
      <c r="E26" s="254">
        <f>17.22*0.2</f>
        <v>3.444</v>
      </c>
      <c r="F26" s="254">
        <v>1</v>
      </c>
      <c r="G26" s="254">
        <f t="shared" si="6"/>
        <v>3.44</v>
      </c>
      <c r="H26" s="299"/>
      <c r="I26" s="303">
        <v>77125.899999999994</v>
      </c>
      <c r="J26" s="300">
        <v>1.9442999999999999</v>
      </c>
      <c r="K26" s="299">
        <f t="shared" si="7"/>
        <v>149955.89000000001</v>
      </c>
      <c r="L26" s="301">
        <f t="shared" si="8"/>
        <v>515848.26</v>
      </c>
      <c r="M26" s="299">
        <f t="shared" si="9"/>
        <v>103169.65</v>
      </c>
      <c r="N26" s="250">
        <f t="shared" si="10"/>
        <v>619017.91</v>
      </c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64"/>
      <c r="Z26" s="9"/>
      <c r="AA26" s="79"/>
      <c r="AB26" s="22"/>
      <c r="AC26" s="22"/>
      <c r="AD26" s="22"/>
    </row>
    <row r="27" spans="1:30" s="20" customFormat="1" ht="114.75" hidden="1" x14ac:dyDescent="0.2">
      <c r="A27" s="294">
        <f t="shared" ref="A27:A34" si="11">A26+1</f>
        <v>15</v>
      </c>
      <c r="B27" s="257" t="s">
        <v>157</v>
      </c>
      <c r="C27" s="257" t="s">
        <v>125</v>
      </c>
      <c r="D27" s="254" t="s">
        <v>434</v>
      </c>
      <c r="E27" s="254">
        <f>2186*0.5</f>
        <v>1093</v>
      </c>
      <c r="F27" s="254">
        <v>1</v>
      </c>
      <c r="G27" s="254">
        <f t="shared" si="6"/>
        <v>1093</v>
      </c>
      <c r="H27" s="299"/>
      <c r="I27" s="303">
        <v>315.7047</v>
      </c>
      <c r="J27" s="300">
        <v>1.9442999999999999</v>
      </c>
      <c r="K27" s="299">
        <f t="shared" si="7"/>
        <v>613.82000000000005</v>
      </c>
      <c r="L27" s="301">
        <f t="shared" si="8"/>
        <v>670905.26</v>
      </c>
      <c r="M27" s="299">
        <f t="shared" si="9"/>
        <v>134181.04999999999</v>
      </c>
      <c r="N27" s="250">
        <f t="shared" si="10"/>
        <v>805086.31</v>
      </c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64"/>
      <c r="Z27" s="9"/>
      <c r="AA27" s="79"/>
      <c r="AB27" s="22"/>
      <c r="AC27" s="22"/>
      <c r="AD27" s="22"/>
    </row>
    <row r="28" spans="1:30" s="20" customFormat="1" ht="89.25" hidden="1" x14ac:dyDescent="0.2">
      <c r="A28" s="294">
        <f t="shared" si="11"/>
        <v>16</v>
      </c>
      <c r="B28" s="257" t="s">
        <v>158</v>
      </c>
      <c r="C28" s="257" t="s">
        <v>82</v>
      </c>
      <c r="D28" s="254" t="s">
        <v>430</v>
      </c>
      <c r="E28" s="254">
        <f>1139*0.5</f>
        <v>569.5</v>
      </c>
      <c r="F28" s="254">
        <v>1</v>
      </c>
      <c r="G28" s="254">
        <f t="shared" si="6"/>
        <v>569.5</v>
      </c>
      <c r="H28" s="299"/>
      <c r="I28" s="303">
        <v>35.799999999999997</v>
      </c>
      <c r="J28" s="300">
        <v>1.9442999999999999</v>
      </c>
      <c r="K28" s="299">
        <f t="shared" si="7"/>
        <v>69.61</v>
      </c>
      <c r="L28" s="301">
        <f t="shared" si="8"/>
        <v>39642.9</v>
      </c>
      <c r="M28" s="299">
        <f t="shared" si="9"/>
        <v>7928.58</v>
      </c>
      <c r="N28" s="250">
        <f t="shared" si="10"/>
        <v>47571.48</v>
      </c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64"/>
      <c r="Z28" s="9"/>
      <c r="AA28" s="18"/>
      <c r="AB28" s="22"/>
      <c r="AC28" s="22"/>
      <c r="AD28" s="22"/>
    </row>
    <row r="29" spans="1:30" s="20" customFormat="1" ht="76.5" hidden="1" x14ac:dyDescent="0.2">
      <c r="A29" s="294">
        <f t="shared" si="11"/>
        <v>17</v>
      </c>
      <c r="B29" s="257" t="s">
        <v>159</v>
      </c>
      <c r="C29" s="257" t="s">
        <v>109</v>
      </c>
      <c r="D29" s="254" t="s">
        <v>431</v>
      </c>
      <c r="E29" s="254">
        <f>23.65*0.5</f>
        <v>11.824999999999999</v>
      </c>
      <c r="F29" s="254">
        <v>1</v>
      </c>
      <c r="G29" s="254">
        <f t="shared" si="6"/>
        <v>11.83</v>
      </c>
      <c r="H29" s="299"/>
      <c r="I29" s="309">
        <v>11575.11</v>
      </c>
      <c r="J29" s="300">
        <v>1.9442999999999999</v>
      </c>
      <c r="K29" s="299">
        <f t="shared" si="7"/>
        <v>22505.49</v>
      </c>
      <c r="L29" s="301">
        <f t="shared" si="8"/>
        <v>266239.95</v>
      </c>
      <c r="M29" s="299">
        <f t="shared" si="9"/>
        <v>53247.99</v>
      </c>
      <c r="N29" s="250">
        <f t="shared" si="10"/>
        <v>319487.94</v>
      </c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64"/>
      <c r="Z29" s="9"/>
      <c r="AA29" s="18"/>
      <c r="AB29" s="22"/>
      <c r="AC29" s="22"/>
      <c r="AD29" s="22"/>
    </row>
    <row r="30" spans="1:30" s="20" customFormat="1" ht="89.25" hidden="1" x14ac:dyDescent="0.2">
      <c r="A30" s="294">
        <f t="shared" si="11"/>
        <v>18</v>
      </c>
      <c r="B30" s="257" t="s">
        <v>160</v>
      </c>
      <c r="C30" s="257" t="s">
        <v>110</v>
      </c>
      <c r="D30" s="254" t="s">
        <v>431</v>
      </c>
      <c r="E30" s="254">
        <v>171.72</v>
      </c>
      <c r="F30" s="254">
        <v>3</v>
      </c>
      <c r="G30" s="254">
        <f t="shared" si="6"/>
        <v>515.16</v>
      </c>
      <c r="H30" s="299"/>
      <c r="I30" s="309">
        <v>283.41000000000003</v>
      </c>
      <c r="J30" s="300">
        <v>1.9442999999999999</v>
      </c>
      <c r="K30" s="299">
        <f t="shared" si="7"/>
        <v>551.03</v>
      </c>
      <c r="L30" s="301">
        <f t="shared" si="8"/>
        <v>283868.61</v>
      </c>
      <c r="M30" s="299">
        <f t="shared" si="9"/>
        <v>56773.72</v>
      </c>
      <c r="N30" s="250">
        <f t="shared" si="10"/>
        <v>340642.33</v>
      </c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64"/>
      <c r="Z30" s="9"/>
      <c r="AA30" s="79"/>
      <c r="AB30" s="22"/>
      <c r="AC30" s="22"/>
      <c r="AD30" s="22"/>
    </row>
    <row r="31" spans="1:30" s="20" customFormat="1" ht="51" hidden="1" x14ac:dyDescent="0.2">
      <c r="A31" s="294">
        <f>A30+1</f>
        <v>19</v>
      </c>
      <c r="B31" s="257" t="s">
        <v>463</v>
      </c>
      <c r="C31" s="295" t="s">
        <v>464</v>
      </c>
      <c r="D31" s="296" t="s">
        <v>118</v>
      </c>
      <c r="E31" s="296">
        <v>1</v>
      </c>
      <c r="F31" s="296">
        <v>1</v>
      </c>
      <c r="G31" s="254">
        <f t="shared" si="6"/>
        <v>1</v>
      </c>
      <c r="H31" s="303"/>
      <c r="I31" s="299">
        <v>38457.4</v>
      </c>
      <c r="J31" s="300">
        <v>1.9442999999999999</v>
      </c>
      <c r="K31" s="299">
        <f t="shared" si="7"/>
        <v>74772.72</v>
      </c>
      <c r="L31" s="301">
        <f t="shared" si="8"/>
        <v>74772.72</v>
      </c>
      <c r="M31" s="299">
        <f t="shared" si="9"/>
        <v>14954.54</v>
      </c>
      <c r="N31" s="250">
        <f t="shared" si="10"/>
        <v>89727.26</v>
      </c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64"/>
      <c r="Z31" s="9"/>
      <c r="AA31" s="79"/>
      <c r="AB31" s="22"/>
      <c r="AC31" s="22"/>
      <c r="AD31" s="22"/>
    </row>
    <row r="32" spans="1:30" s="20" customFormat="1" ht="25.5" hidden="1" x14ac:dyDescent="0.2">
      <c r="A32" s="294"/>
      <c r="B32" s="257"/>
      <c r="C32" s="219" t="s">
        <v>83</v>
      </c>
      <c r="D32" s="254"/>
      <c r="E32" s="254"/>
      <c r="F32" s="254"/>
      <c r="G32" s="254"/>
      <c r="H32" s="254"/>
      <c r="I32" s="309"/>
      <c r="J32" s="300"/>
      <c r="K32" s="299"/>
      <c r="L32" s="301"/>
      <c r="M32" s="299"/>
      <c r="N32" s="250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64"/>
      <c r="Z32" s="9"/>
      <c r="AA32" s="18"/>
      <c r="AB32" s="22"/>
      <c r="AC32" s="22"/>
      <c r="AD32" s="22"/>
    </row>
    <row r="33" spans="1:30" s="20" customFormat="1" ht="76.5" hidden="1" x14ac:dyDescent="0.2">
      <c r="A33" s="294">
        <f>A31+1</f>
        <v>20</v>
      </c>
      <c r="B33" s="257" t="s">
        <v>161</v>
      </c>
      <c r="C33" s="257" t="s">
        <v>84</v>
      </c>
      <c r="D33" s="254" t="s">
        <v>433</v>
      </c>
      <c r="E33" s="254">
        <f>1086*0.1</f>
        <v>108.60000000000001</v>
      </c>
      <c r="F33" s="254">
        <v>1</v>
      </c>
      <c r="G33" s="254">
        <f>ROUND(E33*F33,2)</f>
        <v>108.6</v>
      </c>
      <c r="H33" s="299"/>
      <c r="I33" s="309">
        <v>77.2</v>
      </c>
      <c r="J33" s="300">
        <v>1.9442999999999999</v>
      </c>
      <c r="K33" s="299">
        <f>ROUND(I33*J33,2)</f>
        <v>150.1</v>
      </c>
      <c r="L33" s="301">
        <f>ROUND(K33*G33,2)</f>
        <v>16300.86</v>
      </c>
      <c r="M33" s="299">
        <f>ROUND(L33*0.2,2)</f>
        <v>3260.17</v>
      </c>
      <c r="N33" s="250">
        <f>ROUND(M33+L33,2)</f>
        <v>19561.03</v>
      </c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64"/>
      <c r="Z33" s="9"/>
      <c r="AA33" s="79"/>
      <c r="AB33" s="22"/>
      <c r="AC33" s="22"/>
      <c r="AD33" s="22"/>
    </row>
    <row r="34" spans="1:30" s="20" customFormat="1" ht="89.25" hidden="1" x14ac:dyDescent="0.2">
      <c r="A34" s="294">
        <f t="shared" si="11"/>
        <v>21</v>
      </c>
      <c r="B34" s="257" t="s">
        <v>162</v>
      </c>
      <c r="C34" s="257" t="s">
        <v>85</v>
      </c>
      <c r="D34" s="254" t="s">
        <v>434</v>
      </c>
      <c r="E34" s="254">
        <f>73*0.05</f>
        <v>3.6500000000000004</v>
      </c>
      <c r="F34" s="254">
        <v>1</v>
      </c>
      <c r="G34" s="254">
        <f>ROUND(E34*F34,2)</f>
        <v>3.65</v>
      </c>
      <c r="H34" s="299"/>
      <c r="I34" s="309">
        <v>1547.81</v>
      </c>
      <c r="J34" s="300">
        <v>1.9442999999999999</v>
      </c>
      <c r="K34" s="299">
        <f>ROUND(I34*J34,2)</f>
        <v>3009.41</v>
      </c>
      <c r="L34" s="301">
        <f>ROUND(K34*G34,2)</f>
        <v>10984.35</v>
      </c>
      <c r="M34" s="299">
        <f>ROUND(L34*0.2,2)</f>
        <v>2196.87</v>
      </c>
      <c r="N34" s="250">
        <f>ROUND(M34+L34,2)</f>
        <v>13181.22</v>
      </c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64"/>
      <c r="Z34" s="9"/>
      <c r="AA34" s="18"/>
      <c r="AB34" s="22"/>
      <c r="AC34" s="22"/>
      <c r="AD34" s="22"/>
    </row>
    <row r="35" spans="1:30" s="20" customFormat="1" ht="38.25" hidden="1" x14ac:dyDescent="0.2">
      <c r="A35" s="294"/>
      <c r="B35" s="257"/>
      <c r="C35" s="219" t="s">
        <v>86</v>
      </c>
      <c r="D35" s="254"/>
      <c r="E35" s="254"/>
      <c r="F35" s="254"/>
      <c r="G35" s="254"/>
      <c r="H35" s="254"/>
      <c r="I35" s="309"/>
      <c r="J35" s="300"/>
      <c r="K35" s="299"/>
      <c r="L35" s="301"/>
      <c r="M35" s="299"/>
      <c r="N35" s="250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64"/>
      <c r="Z35" s="9"/>
      <c r="AA35" s="18"/>
      <c r="AB35" s="22"/>
      <c r="AC35" s="22"/>
      <c r="AD35" s="22"/>
    </row>
    <row r="36" spans="1:30" s="20" customFormat="1" ht="76.5" hidden="1" x14ac:dyDescent="0.2">
      <c r="A36" s="294">
        <f>A34+1</f>
        <v>22</v>
      </c>
      <c r="B36" s="257" t="s">
        <v>163</v>
      </c>
      <c r="C36" s="257" t="s">
        <v>87</v>
      </c>
      <c r="D36" s="254" t="s">
        <v>435</v>
      </c>
      <c r="E36" s="254">
        <f>904-890</f>
        <v>14</v>
      </c>
      <c r="F36" s="254">
        <v>1</v>
      </c>
      <c r="G36" s="254">
        <f t="shared" ref="G36:G42" si="12">ROUND(E36*F36,2)</f>
        <v>14</v>
      </c>
      <c r="H36" s="299"/>
      <c r="I36" s="309">
        <v>108.09</v>
      </c>
      <c r="J36" s="300">
        <v>1.9442999999999999</v>
      </c>
      <c r="K36" s="299">
        <f t="shared" ref="K36:K48" si="13">ROUND(I36*J36,2)</f>
        <v>210.16</v>
      </c>
      <c r="L36" s="301">
        <f t="shared" ref="L36:L48" si="14">ROUND(K36*G36,2)</f>
        <v>2942.24</v>
      </c>
      <c r="M36" s="299">
        <f>ROUND(L36*0.2,2)</f>
        <v>588.45000000000005</v>
      </c>
      <c r="N36" s="250">
        <f t="shared" ref="N36:N48" si="15">ROUND(M36+L36,2)</f>
        <v>3530.69</v>
      </c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64"/>
      <c r="Z36" s="9"/>
      <c r="AA36" s="18"/>
      <c r="AB36" s="22"/>
      <c r="AC36" s="22"/>
      <c r="AD36" s="22"/>
    </row>
    <row r="37" spans="1:30" s="20" customFormat="1" ht="76.5" hidden="1" x14ac:dyDescent="0.2">
      <c r="A37" s="294">
        <f t="shared" ref="A37:A52" si="16">A36+1</f>
        <v>23</v>
      </c>
      <c r="B37" s="257" t="s">
        <v>164</v>
      </c>
      <c r="C37" s="257" t="s">
        <v>465</v>
      </c>
      <c r="D37" s="254" t="s">
        <v>435</v>
      </c>
      <c r="E37" s="254">
        <f>50-30</f>
        <v>20</v>
      </c>
      <c r="F37" s="254">
        <v>1</v>
      </c>
      <c r="G37" s="254">
        <f t="shared" si="12"/>
        <v>20</v>
      </c>
      <c r="H37" s="299"/>
      <c r="I37" s="309">
        <v>3286.73</v>
      </c>
      <c r="J37" s="300">
        <v>1.9442999999999999</v>
      </c>
      <c r="K37" s="299">
        <f t="shared" si="13"/>
        <v>6390.39</v>
      </c>
      <c r="L37" s="301">
        <f t="shared" si="14"/>
        <v>127807.8</v>
      </c>
      <c r="M37" s="299">
        <f>ROUND(L37*0.2,2)</f>
        <v>25561.56</v>
      </c>
      <c r="N37" s="250">
        <f t="shared" si="15"/>
        <v>153369.35999999999</v>
      </c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64"/>
      <c r="Z37" s="9"/>
      <c r="AA37" s="18"/>
      <c r="AB37" s="22"/>
      <c r="AC37" s="22"/>
      <c r="AD37" s="22"/>
    </row>
    <row r="38" spans="1:30" s="20" customFormat="1" ht="76.5" hidden="1" x14ac:dyDescent="0.2">
      <c r="A38" s="294">
        <f t="shared" si="16"/>
        <v>24</v>
      </c>
      <c r="B38" s="257" t="s">
        <v>502</v>
      </c>
      <c r="C38" s="257" t="s">
        <v>506</v>
      </c>
      <c r="D38" s="254" t="s">
        <v>435</v>
      </c>
      <c r="E38" s="254">
        <f>20/2</f>
        <v>10</v>
      </c>
      <c r="F38" s="254">
        <v>1</v>
      </c>
      <c r="G38" s="254">
        <f t="shared" si="12"/>
        <v>10</v>
      </c>
      <c r="H38" s="254"/>
      <c r="I38" s="309">
        <v>6596.71</v>
      </c>
      <c r="J38" s="300">
        <v>1.9442999999999999</v>
      </c>
      <c r="K38" s="299">
        <f t="shared" si="13"/>
        <v>12825.98</v>
      </c>
      <c r="L38" s="301">
        <f t="shared" si="14"/>
        <v>128259.8</v>
      </c>
      <c r="M38" s="299">
        <f>ROUND(L38*0.2,2)</f>
        <v>25651.96</v>
      </c>
      <c r="N38" s="250">
        <f t="shared" si="15"/>
        <v>153911.76</v>
      </c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64"/>
      <c r="Z38" s="9"/>
      <c r="AA38" s="18"/>
      <c r="AB38" s="22"/>
      <c r="AC38" s="22"/>
      <c r="AD38" s="22"/>
    </row>
    <row r="39" spans="1:30" s="20" customFormat="1" ht="76.5" hidden="1" x14ac:dyDescent="0.2">
      <c r="A39" s="294">
        <f t="shared" si="16"/>
        <v>25</v>
      </c>
      <c r="B39" s="257" t="s">
        <v>167</v>
      </c>
      <c r="C39" s="257" t="s">
        <v>140</v>
      </c>
      <c r="D39" s="254" t="s">
        <v>435</v>
      </c>
      <c r="E39" s="254">
        <f>30/2</f>
        <v>15</v>
      </c>
      <c r="F39" s="254">
        <v>1</v>
      </c>
      <c r="G39" s="254">
        <f t="shared" si="12"/>
        <v>15</v>
      </c>
      <c r="H39" s="299"/>
      <c r="I39" s="309">
        <v>2893.7</v>
      </c>
      <c r="J39" s="300">
        <v>1.9442999999999999</v>
      </c>
      <c r="K39" s="299">
        <f t="shared" si="13"/>
        <v>5626.22</v>
      </c>
      <c r="L39" s="301">
        <f t="shared" si="14"/>
        <v>84393.3</v>
      </c>
      <c r="M39" s="299">
        <f t="shared" ref="M39:M48" si="17">ROUND(L39*0.2,2)</f>
        <v>16878.66</v>
      </c>
      <c r="N39" s="250">
        <f t="shared" si="15"/>
        <v>101271.96</v>
      </c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64"/>
      <c r="Z39" s="9"/>
      <c r="AA39" s="18"/>
      <c r="AB39" s="22"/>
      <c r="AC39" s="22"/>
      <c r="AD39" s="22"/>
    </row>
    <row r="40" spans="1:30" s="20" customFormat="1" ht="89.25" hidden="1" x14ac:dyDescent="0.2">
      <c r="A40" s="294">
        <f t="shared" si="16"/>
        <v>26</v>
      </c>
      <c r="B40" s="257" t="s">
        <v>168</v>
      </c>
      <c r="C40" s="257" t="s">
        <v>112</v>
      </c>
      <c r="D40" s="254" t="s">
        <v>435</v>
      </c>
      <c r="E40" s="254">
        <v>100</v>
      </c>
      <c r="F40" s="254">
        <v>1</v>
      </c>
      <c r="G40" s="254">
        <f t="shared" si="12"/>
        <v>100</v>
      </c>
      <c r="H40" s="299"/>
      <c r="I40" s="309">
        <v>643.77</v>
      </c>
      <c r="J40" s="300">
        <v>1.9442999999999999</v>
      </c>
      <c r="K40" s="299">
        <f t="shared" si="13"/>
        <v>1251.68</v>
      </c>
      <c r="L40" s="301">
        <f t="shared" si="14"/>
        <v>125168</v>
      </c>
      <c r="M40" s="299">
        <f t="shared" si="17"/>
        <v>25033.599999999999</v>
      </c>
      <c r="N40" s="250">
        <f t="shared" si="15"/>
        <v>150201.60000000001</v>
      </c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64"/>
      <c r="Z40" s="9"/>
      <c r="AA40" s="18"/>
      <c r="AB40" s="22"/>
      <c r="AC40" s="22"/>
      <c r="AD40" s="22"/>
    </row>
    <row r="41" spans="1:30" s="20" customFormat="1" ht="76.5" hidden="1" x14ac:dyDescent="0.2">
      <c r="A41" s="294">
        <f t="shared" si="16"/>
        <v>27</v>
      </c>
      <c r="B41" s="310" t="s">
        <v>138</v>
      </c>
      <c r="C41" s="257" t="s">
        <v>137</v>
      </c>
      <c r="D41" s="254" t="s">
        <v>435</v>
      </c>
      <c r="E41" s="254">
        <f>100/2</f>
        <v>50</v>
      </c>
      <c r="F41" s="254">
        <v>1</v>
      </c>
      <c r="G41" s="254">
        <f t="shared" si="12"/>
        <v>50</v>
      </c>
      <c r="H41" s="299"/>
      <c r="I41" s="309">
        <v>167.36</v>
      </c>
      <c r="J41" s="300">
        <v>1.9442999999999999</v>
      </c>
      <c r="K41" s="299">
        <f t="shared" si="13"/>
        <v>325.39999999999998</v>
      </c>
      <c r="L41" s="301">
        <f t="shared" si="14"/>
        <v>16270</v>
      </c>
      <c r="M41" s="299">
        <f t="shared" si="17"/>
        <v>3254</v>
      </c>
      <c r="N41" s="250">
        <f t="shared" si="15"/>
        <v>19524</v>
      </c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64"/>
      <c r="Z41" s="9"/>
      <c r="AA41" s="18"/>
      <c r="AB41" s="22"/>
      <c r="AC41" s="22"/>
      <c r="AD41" s="22"/>
    </row>
    <row r="42" spans="1:30" s="20" customFormat="1" ht="89.25" hidden="1" x14ac:dyDescent="0.2">
      <c r="A42" s="294">
        <f t="shared" si="16"/>
        <v>28</v>
      </c>
      <c r="B42" s="257" t="s">
        <v>201</v>
      </c>
      <c r="C42" s="302" t="s">
        <v>202</v>
      </c>
      <c r="D42" s="254" t="s">
        <v>433</v>
      </c>
      <c r="E42" s="254">
        <f>230.5/2</f>
        <v>115.25</v>
      </c>
      <c r="F42" s="254">
        <v>1</v>
      </c>
      <c r="G42" s="254">
        <f t="shared" si="12"/>
        <v>115.25</v>
      </c>
      <c r="H42" s="299"/>
      <c r="I42" s="309">
        <v>38.590000000000003</v>
      </c>
      <c r="J42" s="300">
        <v>1.9442999999999999</v>
      </c>
      <c r="K42" s="299">
        <f t="shared" si="13"/>
        <v>75.03</v>
      </c>
      <c r="L42" s="301">
        <f t="shared" si="14"/>
        <v>8647.2099999999991</v>
      </c>
      <c r="M42" s="299">
        <f t="shared" si="17"/>
        <v>1729.44</v>
      </c>
      <c r="N42" s="250">
        <f t="shared" si="15"/>
        <v>10376.65</v>
      </c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64"/>
      <c r="Z42" s="9"/>
      <c r="AA42" s="18"/>
      <c r="AB42" s="22"/>
      <c r="AC42" s="22"/>
      <c r="AD42" s="22"/>
    </row>
    <row r="43" spans="1:30" s="20" customFormat="1" ht="76.5" hidden="1" x14ac:dyDescent="0.2">
      <c r="A43" s="294">
        <f t="shared" si="16"/>
        <v>29</v>
      </c>
      <c r="B43" s="307" t="s">
        <v>169</v>
      </c>
      <c r="C43" s="257" t="s">
        <v>104</v>
      </c>
      <c r="D43" s="254" t="s">
        <v>411</v>
      </c>
      <c r="E43" s="254">
        <f>5.25-4</f>
        <v>1.25</v>
      </c>
      <c r="F43" s="254">
        <v>1</v>
      </c>
      <c r="G43" s="254">
        <f>ROUND(E43*F43,2)</f>
        <v>1.25</v>
      </c>
      <c r="H43" s="299"/>
      <c r="I43" s="309">
        <v>5333.45</v>
      </c>
      <c r="J43" s="300">
        <v>1.9442999999999999</v>
      </c>
      <c r="K43" s="299">
        <f t="shared" si="13"/>
        <v>10369.83</v>
      </c>
      <c r="L43" s="301">
        <f t="shared" si="14"/>
        <v>12962.29</v>
      </c>
      <c r="M43" s="299">
        <f t="shared" si="17"/>
        <v>2592.46</v>
      </c>
      <c r="N43" s="250">
        <f t="shared" si="15"/>
        <v>15554.75</v>
      </c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64"/>
      <c r="Z43" s="9"/>
      <c r="AA43" s="18"/>
      <c r="AB43" s="63"/>
      <c r="AC43" s="22"/>
      <c r="AD43" s="22"/>
    </row>
    <row r="44" spans="1:30" s="20" customFormat="1" ht="51" hidden="1" x14ac:dyDescent="0.2">
      <c r="A44" s="294">
        <f>A43+1</f>
        <v>30</v>
      </c>
      <c r="B44" s="257" t="s">
        <v>466</v>
      </c>
      <c r="C44" s="257" t="s">
        <v>467</v>
      </c>
      <c r="D44" s="297" t="s">
        <v>422</v>
      </c>
      <c r="E44" s="311">
        <f>351-300</f>
        <v>51</v>
      </c>
      <c r="F44" s="297">
        <v>1</v>
      </c>
      <c r="G44" s="297">
        <f t="shared" ref="G44:G52" si="18">ROUND(E44*F44,2)</f>
        <v>51</v>
      </c>
      <c r="H44" s="299"/>
      <c r="I44" s="309">
        <v>98.67</v>
      </c>
      <c r="J44" s="300">
        <v>1.9442999999999999</v>
      </c>
      <c r="K44" s="299">
        <f t="shared" si="13"/>
        <v>191.84</v>
      </c>
      <c r="L44" s="301">
        <f t="shared" si="14"/>
        <v>9783.84</v>
      </c>
      <c r="M44" s="299">
        <f t="shared" si="17"/>
        <v>1956.77</v>
      </c>
      <c r="N44" s="250">
        <f t="shared" si="15"/>
        <v>11740.61</v>
      </c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64"/>
      <c r="Z44" s="9"/>
      <c r="AA44" s="18"/>
      <c r="AB44" s="63"/>
      <c r="AC44" s="22"/>
      <c r="AD44" s="22"/>
    </row>
    <row r="45" spans="1:30" s="20" customFormat="1" ht="51" hidden="1" x14ac:dyDescent="0.2">
      <c r="A45" s="294">
        <f t="shared" si="16"/>
        <v>31</v>
      </c>
      <c r="B45" s="257" t="s">
        <v>468</v>
      </c>
      <c r="C45" s="257" t="s">
        <v>469</v>
      </c>
      <c r="D45" s="297" t="s">
        <v>118</v>
      </c>
      <c r="E45" s="312">
        <f>34*50/100</f>
        <v>17</v>
      </c>
      <c r="F45" s="297">
        <v>1</v>
      </c>
      <c r="G45" s="297">
        <f t="shared" si="18"/>
        <v>17</v>
      </c>
      <c r="H45" s="254"/>
      <c r="I45" s="299">
        <v>531.04</v>
      </c>
      <c r="J45" s="300">
        <v>1.9442999999999999</v>
      </c>
      <c r="K45" s="299">
        <f t="shared" si="13"/>
        <v>1032.5</v>
      </c>
      <c r="L45" s="301">
        <f t="shared" si="14"/>
        <v>17552.5</v>
      </c>
      <c r="M45" s="299">
        <f t="shared" si="17"/>
        <v>3510.5</v>
      </c>
      <c r="N45" s="250">
        <f t="shared" si="15"/>
        <v>21063</v>
      </c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64"/>
      <c r="Z45" s="9"/>
      <c r="AA45" s="18"/>
      <c r="AB45" s="63"/>
      <c r="AC45" s="22"/>
      <c r="AD45" s="22"/>
    </row>
    <row r="46" spans="1:30" s="20" customFormat="1" ht="51" hidden="1" x14ac:dyDescent="0.2">
      <c r="A46" s="294">
        <f t="shared" si="16"/>
        <v>32</v>
      </c>
      <c r="B46" s="257" t="s">
        <v>470</v>
      </c>
      <c r="C46" s="313" t="s">
        <v>471</v>
      </c>
      <c r="D46" s="297" t="s">
        <v>446</v>
      </c>
      <c r="E46" s="297">
        <f>461</f>
        <v>461</v>
      </c>
      <c r="F46" s="297">
        <v>1</v>
      </c>
      <c r="G46" s="297">
        <f t="shared" si="18"/>
        <v>461</v>
      </c>
      <c r="H46" s="254"/>
      <c r="I46" s="299">
        <v>2.89</v>
      </c>
      <c r="J46" s="300">
        <v>1.9442999999999999</v>
      </c>
      <c r="K46" s="299">
        <f t="shared" si="13"/>
        <v>5.62</v>
      </c>
      <c r="L46" s="301">
        <f t="shared" si="14"/>
        <v>2590.8200000000002</v>
      </c>
      <c r="M46" s="299">
        <f t="shared" si="17"/>
        <v>518.16</v>
      </c>
      <c r="N46" s="250">
        <f t="shared" si="15"/>
        <v>3108.98</v>
      </c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64"/>
      <c r="Z46" s="9"/>
      <c r="AA46" s="18"/>
      <c r="AB46" s="63"/>
      <c r="AC46" s="22"/>
      <c r="AD46" s="22"/>
    </row>
    <row r="47" spans="1:30" s="20" customFormat="1" ht="51" hidden="1" x14ac:dyDescent="0.2">
      <c r="A47" s="294">
        <f t="shared" si="16"/>
        <v>33</v>
      </c>
      <c r="B47" s="257" t="s">
        <v>472</v>
      </c>
      <c r="C47" s="313" t="s">
        <v>473</v>
      </c>
      <c r="D47" s="297" t="s">
        <v>422</v>
      </c>
      <c r="E47" s="297">
        <v>100</v>
      </c>
      <c r="F47" s="297">
        <v>1</v>
      </c>
      <c r="G47" s="297">
        <f t="shared" si="18"/>
        <v>100</v>
      </c>
      <c r="H47" s="254"/>
      <c r="I47" s="299">
        <v>101.02</v>
      </c>
      <c r="J47" s="300">
        <v>1.9442999999999999</v>
      </c>
      <c r="K47" s="299">
        <f t="shared" si="13"/>
        <v>196.41</v>
      </c>
      <c r="L47" s="301">
        <f t="shared" si="14"/>
        <v>19641</v>
      </c>
      <c r="M47" s="299">
        <f t="shared" si="17"/>
        <v>3928.2</v>
      </c>
      <c r="N47" s="250">
        <f t="shared" si="15"/>
        <v>23569.200000000001</v>
      </c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64"/>
      <c r="Z47" s="9"/>
      <c r="AA47" s="18"/>
      <c r="AB47" s="63"/>
      <c r="AC47" s="22"/>
      <c r="AD47" s="22"/>
    </row>
    <row r="48" spans="1:30" s="20" customFormat="1" ht="51" hidden="1" x14ac:dyDescent="0.2">
      <c r="A48" s="294">
        <f t="shared" si="16"/>
        <v>34</v>
      </c>
      <c r="B48" s="257" t="s">
        <v>474</v>
      </c>
      <c r="C48" s="313" t="s">
        <v>475</v>
      </c>
      <c r="D48" s="297" t="s">
        <v>433</v>
      </c>
      <c r="E48" s="297">
        <f>E46</f>
        <v>461</v>
      </c>
      <c r="F48" s="297">
        <v>3</v>
      </c>
      <c r="G48" s="297">
        <f t="shared" si="18"/>
        <v>1383</v>
      </c>
      <c r="H48" s="254"/>
      <c r="I48" s="299">
        <v>0.57999999999999996</v>
      </c>
      <c r="J48" s="300">
        <v>1.9442999999999999</v>
      </c>
      <c r="K48" s="299">
        <f t="shared" si="13"/>
        <v>1.1299999999999999</v>
      </c>
      <c r="L48" s="301">
        <f t="shared" si="14"/>
        <v>1562.79</v>
      </c>
      <c r="M48" s="299">
        <f t="shared" si="17"/>
        <v>312.56</v>
      </c>
      <c r="N48" s="250">
        <f t="shared" si="15"/>
        <v>1875.35</v>
      </c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64"/>
      <c r="Z48" s="9"/>
      <c r="AA48" s="18"/>
      <c r="AB48" s="63"/>
      <c r="AC48" s="22"/>
      <c r="AD48" s="22"/>
    </row>
    <row r="49" spans="1:30" s="20" customFormat="1" ht="51" hidden="1" x14ac:dyDescent="0.2">
      <c r="A49" s="294">
        <f t="shared" si="16"/>
        <v>35</v>
      </c>
      <c r="B49" s="257" t="s">
        <v>476</v>
      </c>
      <c r="C49" s="313" t="s">
        <v>477</v>
      </c>
      <c r="D49" s="297" t="s">
        <v>433</v>
      </c>
      <c r="E49" s="297">
        <v>50</v>
      </c>
      <c r="F49" s="297">
        <v>1</v>
      </c>
      <c r="G49" s="297">
        <f t="shared" si="18"/>
        <v>50</v>
      </c>
      <c r="H49" s="254"/>
      <c r="I49" s="299">
        <v>382.85</v>
      </c>
      <c r="J49" s="300">
        <v>1.9442999999999999</v>
      </c>
      <c r="K49" s="299">
        <f>ROUND(I49*J49,2)</f>
        <v>744.38</v>
      </c>
      <c r="L49" s="301">
        <f>ROUND(K49*G49,2)</f>
        <v>37219</v>
      </c>
      <c r="M49" s="299">
        <f>ROUND(L49*0.2,2)</f>
        <v>7443.8</v>
      </c>
      <c r="N49" s="250">
        <f>ROUND(M49+L49,2)</f>
        <v>44662.8</v>
      </c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64"/>
      <c r="Z49" s="9"/>
      <c r="AA49" s="18"/>
      <c r="AB49" s="63"/>
      <c r="AC49" s="22"/>
      <c r="AD49" s="22"/>
    </row>
    <row r="50" spans="1:30" s="20" customFormat="1" ht="51" hidden="1" x14ac:dyDescent="0.2">
      <c r="A50" s="294">
        <f t="shared" si="16"/>
        <v>36</v>
      </c>
      <c r="B50" s="257" t="s">
        <v>478</v>
      </c>
      <c r="C50" s="313" t="s">
        <v>479</v>
      </c>
      <c r="D50" s="297" t="s">
        <v>422</v>
      </c>
      <c r="E50" s="297">
        <v>100</v>
      </c>
      <c r="F50" s="297">
        <v>1</v>
      </c>
      <c r="G50" s="297">
        <f>ROUND(E50*F50,0)</f>
        <v>100</v>
      </c>
      <c r="H50" s="254"/>
      <c r="I50" s="299">
        <v>209.02</v>
      </c>
      <c r="J50" s="300">
        <v>1.9442999999999999</v>
      </c>
      <c r="K50" s="299">
        <f>ROUND(I50*J50,2)</f>
        <v>406.4</v>
      </c>
      <c r="L50" s="301">
        <f>ROUND(K50*G50,2)</f>
        <v>40640</v>
      </c>
      <c r="M50" s="299">
        <f>ROUND(L50*0.2,2)</f>
        <v>8128</v>
      </c>
      <c r="N50" s="250">
        <f>ROUND(M50+L50,2)</f>
        <v>48768</v>
      </c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64"/>
      <c r="Z50" s="9"/>
      <c r="AA50" s="18"/>
      <c r="AB50" s="63"/>
      <c r="AC50" s="22"/>
      <c r="AD50" s="22"/>
    </row>
    <row r="51" spans="1:30" s="20" customFormat="1" ht="60.75" hidden="1" customHeight="1" x14ac:dyDescent="0.2">
      <c r="A51" s="294">
        <f t="shared" si="16"/>
        <v>37</v>
      </c>
      <c r="B51" s="220" t="s">
        <v>480</v>
      </c>
      <c r="C51" s="302" t="s">
        <v>509</v>
      </c>
      <c r="D51" s="303" t="s">
        <v>507</v>
      </c>
      <c r="E51" s="254">
        <v>4</v>
      </c>
      <c r="F51" s="254">
        <v>3</v>
      </c>
      <c r="G51" s="297">
        <f t="shared" si="18"/>
        <v>12</v>
      </c>
      <c r="H51" s="254"/>
      <c r="I51" s="299">
        <v>4248.72</v>
      </c>
      <c r="J51" s="300">
        <v>1.9442999999999999</v>
      </c>
      <c r="K51" s="299">
        <f>ROUND(I51*J51,2)</f>
        <v>8260.7900000000009</v>
      </c>
      <c r="L51" s="301">
        <f>ROUND(K51*G51,2)</f>
        <v>99129.48</v>
      </c>
      <c r="M51" s="299">
        <f>ROUND(L51*0.2,2)</f>
        <v>19825.900000000001</v>
      </c>
      <c r="N51" s="250">
        <f>ROUND(M51+L51,2)</f>
        <v>118955.38</v>
      </c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64"/>
      <c r="Z51" s="9"/>
      <c r="AA51" s="18"/>
      <c r="AB51" s="63"/>
      <c r="AC51" s="22"/>
      <c r="AD51" s="22"/>
    </row>
    <row r="52" spans="1:30" s="20" customFormat="1" ht="38.25" hidden="1" x14ac:dyDescent="0.2">
      <c r="A52" s="294">
        <f t="shared" si="16"/>
        <v>38</v>
      </c>
      <c r="B52" s="220" t="s">
        <v>480</v>
      </c>
      <c r="C52" s="257" t="s">
        <v>518</v>
      </c>
      <c r="D52" s="314" t="s">
        <v>508</v>
      </c>
      <c r="E52" s="297">
        <v>1</v>
      </c>
      <c r="F52" s="297">
        <v>92</v>
      </c>
      <c r="G52" s="297">
        <f t="shared" si="18"/>
        <v>92</v>
      </c>
      <c r="H52" s="254"/>
      <c r="I52" s="299">
        <v>535.76</v>
      </c>
      <c r="J52" s="308">
        <v>1</v>
      </c>
      <c r="K52" s="299">
        <f>ROUND(I52*J52,2)</f>
        <v>535.76</v>
      </c>
      <c r="L52" s="301">
        <f>ROUND(K52*G52,2)</f>
        <v>49289.919999999998</v>
      </c>
      <c r="M52" s="299">
        <f>ROUND(L52*0.2,2)</f>
        <v>9857.98</v>
      </c>
      <c r="N52" s="250">
        <f>ROUND(M52+L52,2)</f>
        <v>59147.9</v>
      </c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64"/>
      <c r="Z52" s="9"/>
      <c r="AA52" s="18"/>
      <c r="AB52" s="63"/>
      <c r="AC52" s="22"/>
      <c r="AD52" s="22"/>
    </row>
    <row r="53" spans="1:30" s="20" customFormat="1" ht="12.75" hidden="1" x14ac:dyDescent="0.2">
      <c r="A53" s="294"/>
      <c r="B53" s="307"/>
      <c r="C53" s="219" t="s">
        <v>88</v>
      </c>
      <c r="D53" s="254"/>
      <c r="E53" s="254"/>
      <c r="F53" s="254"/>
      <c r="G53" s="254"/>
      <c r="H53" s="254"/>
      <c r="I53" s="299"/>
      <c r="J53" s="300"/>
      <c r="K53" s="299"/>
      <c r="L53" s="301"/>
      <c r="M53" s="299"/>
      <c r="N53" s="250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64"/>
      <c r="Z53" s="9"/>
      <c r="AA53" s="18"/>
      <c r="AB53" s="22"/>
      <c r="AC53" s="22"/>
      <c r="AD53" s="22"/>
    </row>
    <row r="54" spans="1:30" s="20" customFormat="1" ht="76.5" hidden="1" x14ac:dyDescent="0.2">
      <c r="A54" s="294">
        <f>A52+1</f>
        <v>39</v>
      </c>
      <c r="B54" s="315" t="s">
        <v>170</v>
      </c>
      <c r="C54" s="302" t="s">
        <v>171</v>
      </c>
      <c r="D54" s="254" t="s">
        <v>435</v>
      </c>
      <c r="E54" s="254">
        <v>550</v>
      </c>
      <c r="F54" s="254">
        <v>3</v>
      </c>
      <c r="G54" s="254">
        <f>ROUND(E54*F54,2)</f>
        <v>1650</v>
      </c>
      <c r="H54" s="254"/>
      <c r="I54" s="299">
        <v>12.79</v>
      </c>
      <c r="J54" s="300">
        <v>1.9442999999999999</v>
      </c>
      <c r="K54" s="299">
        <f>ROUND(I54*J54,2)</f>
        <v>24.87</v>
      </c>
      <c r="L54" s="301">
        <f>ROUND(K54*G54,2)</f>
        <v>41035.5</v>
      </c>
      <c r="M54" s="299">
        <f>ROUND(L54*0.2,2)</f>
        <v>8207.1</v>
      </c>
      <c r="N54" s="250">
        <f>ROUND(M54+L54,2)</f>
        <v>49242.6</v>
      </c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9"/>
      <c r="Z54" s="9"/>
      <c r="AA54" s="18"/>
      <c r="AB54" s="22"/>
      <c r="AC54" s="22"/>
      <c r="AD54" s="22"/>
    </row>
    <row r="55" spans="1:30" s="20" customFormat="1" ht="25.5" hidden="1" x14ac:dyDescent="0.2">
      <c r="A55" s="294"/>
      <c r="B55" s="315"/>
      <c r="C55" s="221" t="s">
        <v>141</v>
      </c>
      <c r="D55" s="254"/>
      <c r="E55" s="254"/>
      <c r="F55" s="254"/>
      <c r="G55" s="254"/>
      <c r="H55" s="254"/>
      <c r="I55" s="299"/>
      <c r="J55" s="300"/>
      <c r="K55" s="299"/>
      <c r="L55" s="301"/>
      <c r="M55" s="299"/>
      <c r="N55" s="250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504">
        <v>5118890.0199999996</v>
      </c>
      <c r="Z55" s="171"/>
      <c r="AA55" s="18"/>
      <c r="AB55" s="22"/>
      <c r="AC55" s="22"/>
      <c r="AD55" s="22"/>
    </row>
    <row r="56" spans="1:30" s="20" customFormat="1" ht="53.25" hidden="1" customHeight="1" x14ac:dyDescent="0.2">
      <c r="A56" s="294">
        <f>A54+1</f>
        <v>40</v>
      </c>
      <c r="B56" s="257" t="s">
        <v>172</v>
      </c>
      <c r="C56" s="257" t="s">
        <v>173</v>
      </c>
      <c r="D56" s="297" t="s">
        <v>354</v>
      </c>
      <c r="E56" s="297">
        <v>182.04</v>
      </c>
      <c r="F56" s="297">
        <v>6</v>
      </c>
      <c r="G56" s="297">
        <f t="shared" ref="G56:G77" si="19">ROUND(E56*F56,2)</f>
        <v>1092.24</v>
      </c>
      <c r="H56" s="254"/>
      <c r="I56" s="299">
        <v>35.012</v>
      </c>
      <c r="J56" s="300">
        <v>1.9442999999999999</v>
      </c>
      <c r="K56" s="299">
        <f t="shared" ref="K56:K66" si="20">ROUND(I56*J56,2)</f>
        <v>68.069999999999993</v>
      </c>
      <c r="L56" s="301">
        <f t="shared" ref="L56:L66" si="21">ROUND(K56*G56,2)</f>
        <v>74348.78</v>
      </c>
      <c r="M56" s="299">
        <f t="shared" ref="M56:M76" si="22">ROUND(L56*0.2,2)</f>
        <v>14869.76</v>
      </c>
      <c r="N56" s="250">
        <f t="shared" ref="N56:N66" si="23">ROUND(M56+L56,2)</f>
        <v>89218.54</v>
      </c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9"/>
      <c r="Z56" s="9"/>
      <c r="AA56" s="18"/>
      <c r="AB56" s="22"/>
      <c r="AC56" s="22"/>
      <c r="AD56" s="22"/>
    </row>
    <row r="57" spans="1:30" s="20" customFormat="1" ht="65.25" hidden="1" customHeight="1" x14ac:dyDescent="0.2">
      <c r="A57" s="294">
        <f>A56+1</f>
        <v>41</v>
      </c>
      <c r="B57" s="257" t="s">
        <v>174</v>
      </c>
      <c r="C57" s="257" t="s">
        <v>113</v>
      </c>
      <c r="D57" s="297" t="s">
        <v>354</v>
      </c>
      <c r="E57" s="297">
        <v>521.28</v>
      </c>
      <c r="F57" s="297">
        <v>6</v>
      </c>
      <c r="G57" s="297">
        <f t="shared" si="19"/>
        <v>3127.68</v>
      </c>
      <c r="H57" s="254"/>
      <c r="I57" s="299">
        <v>101.435</v>
      </c>
      <c r="J57" s="300">
        <v>1.9442999999999999</v>
      </c>
      <c r="K57" s="299">
        <f t="shared" si="20"/>
        <v>197.22</v>
      </c>
      <c r="L57" s="301">
        <f t="shared" si="21"/>
        <v>616841.05000000005</v>
      </c>
      <c r="M57" s="299">
        <f t="shared" si="22"/>
        <v>123368.21</v>
      </c>
      <c r="N57" s="250">
        <f t="shared" si="23"/>
        <v>740209.26</v>
      </c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64"/>
      <c r="Z57" s="9"/>
      <c r="AA57" s="18"/>
      <c r="AB57" s="22"/>
      <c r="AC57" s="22"/>
      <c r="AD57" s="22"/>
    </row>
    <row r="58" spans="1:30" s="20" customFormat="1" ht="54.75" hidden="1" customHeight="1" x14ac:dyDescent="0.2">
      <c r="A58" s="294">
        <f>A57+1</f>
        <v>42</v>
      </c>
      <c r="B58" s="257" t="s">
        <v>175</v>
      </c>
      <c r="C58" s="257" t="s">
        <v>176</v>
      </c>
      <c r="D58" s="297" t="s">
        <v>354</v>
      </c>
      <c r="E58" s="297">
        <v>96.48</v>
      </c>
      <c r="F58" s="297">
        <v>5</v>
      </c>
      <c r="G58" s="297">
        <f t="shared" si="19"/>
        <v>482.4</v>
      </c>
      <c r="H58" s="254"/>
      <c r="I58" s="299">
        <v>100.485</v>
      </c>
      <c r="J58" s="300">
        <v>1.9442999999999999</v>
      </c>
      <c r="K58" s="299">
        <f t="shared" si="20"/>
        <v>195.37</v>
      </c>
      <c r="L58" s="301">
        <f t="shared" si="21"/>
        <v>94246.49</v>
      </c>
      <c r="M58" s="299">
        <f t="shared" si="22"/>
        <v>18849.3</v>
      </c>
      <c r="N58" s="250">
        <f t="shared" si="23"/>
        <v>113095.79</v>
      </c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143"/>
      <c r="Z58" s="9"/>
      <c r="AA58" s="18"/>
      <c r="AB58" s="22"/>
      <c r="AC58" s="22"/>
      <c r="AD58" s="22"/>
    </row>
    <row r="59" spans="1:30" s="20" customFormat="1" ht="47.25" hidden="1" customHeight="1" x14ac:dyDescent="0.2">
      <c r="A59" s="294">
        <f t="shared" ref="A59:A77" si="24">A58+1</f>
        <v>43</v>
      </c>
      <c r="B59" s="257" t="s">
        <v>177</v>
      </c>
      <c r="C59" s="257" t="s">
        <v>178</v>
      </c>
      <c r="D59" s="297" t="s">
        <v>432</v>
      </c>
      <c r="E59" s="297">
        <v>1112.51</v>
      </c>
      <c r="F59" s="297">
        <v>6</v>
      </c>
      <c r="G59" s="297">
        <f t="shared" si="19"/>
        <v>6675.06</v>
      </c>
      <c r="H59" s="254"/>
      <c r="I59" s="299">
        <v>126.792</v>
      </c>
      <c r="J59" s="300">
        <v>1.9442999999999999</v>
      </c>
      <c r="K59" s="299">
        <f t="shared" si="20"/>
        <v>246.52</v>
      </c>
      <c r="L59" s="301">
        <f t="shared" si="21"/>
        <v>1645535.79</v>
      </c>
      <c r="M59" s="299">
        <f t="shared" si="22"/>
        <v>329107.15999999997</v>
      </c>
      <c r="N59" s="250">
        <f t="shared" si="23"/>
        <v>1974642.95</v>
      </c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64"/>
      <c r="Z59" s="9"/>
      <c r="AA59" s="79"/>
      <c r="AB59" s="24">
        <f>Z59+AA59</f>
        <v>0</v>
      </c>
      <c r="AC59" s="22"/>
      <c r="AD59" s="22"/>
    </row>
    <row r="60" spans="1:30" s="20" customFormat="1" ht="67.5" hidden="1" customHeight="1" x14ac:dyDescent="0.2">
      <c r="A60" s="294">
        <f>A58+1</f>
        <v>43</v>
      </c>
      <c r="B60" s="257" t="s">
        <v>179</v>
      </c>
      <c r="C60" s="257" t="s">
        <v>180</v>
      </c>
      <c r="D60" s="297" t="s">
        <v>432</v>
      </c>
      <c r="E60" s="297">
        <v>289.44</v>
      </c>
      <c r="F60" s="297">
        <v>5</v>
      </c>
      <c r="G60" s="297">
        <f t="shared" si="19"/>
        <v>1447.2</v>
      </c>
      <c r="H60" s="254"/>
      <c r="I60" s="299">
        <v>57.42</v>
      </c>
      <c r="J60" s="300">
        <v>1.9442999999999999</v>
      </c>
      <c r="K60" s="299">
        <f t="shared" si="20"/>
        <v>111.64</v>
      </c>
      <c r="L60" s="301">
        <f t="shared" si="21"/>
        <v>161565.41</v>
      </c>
      <c r="M60" s="299">
        <f t="shared" si="22"/>
        <v>32313.08</v>
      </c>
      <c r="N60" s="250">
        <f t="shared" si="23"/>
        <v>193878.49</v>
      </c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64"/>
      <c r="Z60" s="9"/>
      <c r="AA60" s="18"/>
      <c r="AB60" s="22"/>
      <c r="AC60" s="22"/>
      <c r="AD60" s="22"/>
    </row>
    <row r="61" spans="1:30" s="20" customFormat="1" ht="38.25" hidden="1" customHeight="1" x14ac:dyDescent="0.2">
      <c r="A61" s="294">
        <f>A60+1</f>
        <v>44</v>
      </c>
      <c r="B61" s="257" t="s">
        <v>181</v>
      </c>
      <c r="C61" s="257" t="s">
        <v>503</v>
      </c>
      <c r="D61" s="297" t="s">
        <v>432</v>
      </c>
      <c r="E61" s="297">
        <v>639.928</v>
      </c>
      <c r="F61" s="297">
        <v>6</v>
      </c>
      <c r="G61" s="297">
        <f t="shared" si="19"/>
        <v>3839.57</v>
      </c>
      <c r="H61" s="254"/>
      <c r="I61" s="299">
        <v>41.19</v>
      </c>
      <c r="J61" s="300">
        <v>1.9442999999999999</v>
      </c>
      <c r="K61" s="299">
        <f t="shared" si="20"/>
        <v>80.09</v>
      </c>
      <c r="L61" s="301">
        <f t="shared" si="21"/>
        <v>307511.15999999997</v>
      </c>
      <c r="M61" s="299">
        <f t="shared" si="22"/>
        <v>61502.23</v>
      </c>
      <c r="N61" s="250">
        <f t="shared" si="23"/>
        <v>369013.39</v>
      </c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64"/>
      <c r="Z61" s="9"/>
      <c r="AA61" s="18"/>
      <c r="AB61" s="22"/>
      <c r="AC61" s="22"/>
      <c r="AD61" s="22"/>
    </row>
    <row r="62" spans="1:30" s="20" customFormat="1" ht="67.5" hidden="1" customHeight="1" x14ac:dyDescent="0.2">
      <c r="A62" s="294">
        <f>A61+1</f>
        <v>45</v>
      </c>
      <c r="B62" s="257" t="s">
        <v>510</v>
      </c>
      <c r="C62" s="257" t="s">
        <v>511</v>
      </c>
      <c r="D62" s="297" t="s">
        <v>432</v>
      </c>
      <c r="E62" s="297">
        <v>639.928</v>
      </c>
      <c r="F62" s="297">
        <v>6</v>
      </c>
      <c r="G62" s="297">
        <f t="shared" si="19"/>
        <v>3839.57</v>
      </c>
      <c r="H62" s="254"/>
      <c r="I62" s="299">
        <v>26.46</v>
      </c>
      <c r="J62" s="300">
        <v>1.9442999999999999</v>
      </c>
      <c r="K62" s="299">
        <f t="shared" si="20"/>
        <v>51.45</v>
      </c>
      <c r="L62" s="301">
        <f t="shared" si="21"/>
        <v>197545.88</v>
      </c>
      <c r="M62" s="299">
        <f t="shared" si="22"/>
        <v>39509.18</v>
      </c>
      <c r="N62" s="250">
        <f t="shared" si="23"/>
        <v>237055.06</v>
      </c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64"/>
      <c r="Z62" s="9"/>
      <c r="AA62" s="18"/>
      <c r="AB62" s="22"/>
      <c r="AC62" s="22"/>
      <c r="AD62" s="22"/>
    </row>
    <row r="63" spans="1:30" s="20" customFormat="1" ht="87.75" hidden="1" customHeight="1" x14ac:dyDescent="0.2">
      <c r="A63" s="294">
        <f t="shared" si="24"/>
        <v>46</v>
      </c>
      <c r="B63" s="257" t="s">
        <v>182</v>
      </c>
      <c r="C63" s="257" t="s">
        <v>183</v>
      </c>
      <c r="D63" s="297" t="s">
        <v>432</v>
      </c>
      <c r="E63" s="297">
        <v>639.928</v>
      </c>
      <c r="F63" s="297">
        <v>5</v>
      </c>
      <c r="G63" s="297">
        <f>ROUND(E63*F63,2)</f>
        <v>3199.64</v>
      </c>
      <c r="H63" s="254"/>
      <c r="I63" s="299">
        <v>57.06</v>
      </c>
      <c r="J63" s="300">
        <v>1.9442999999999999</v>
      </c>
      <c r="K63" s="299">
        <f t="shared" si="20"/>
        <v>110.94</v>
      </c>
      <c r="L63" s="301">
        <f t="shared" si="21"/>
        <v>354968.06</v>
      </c>
      <c r="M63" s="299">
        <f t="shared" si="22"/>
        <v>70993.61</v>
      </c>
      <c r="N63" s="250">
        <f>ROUND(M63+L63,2)</f>
        <v>425961.67</v>
      </c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64"/>
      <c r="Z63" s="9"/>
      <c r="AA63" s="18"/>
      <c r="AB63" s="22"/>
      <c r="AC63" s="22"/>
      <c r="AD63" s="22"/>
    </row>
    <row r="64" spans="1:30" s="20" customFormat="1" ht="88.5" hidden="1" customHeight="1" x14ac:dyDescent="0.2">
      <c r="A64" s="294">
        <f>A63+1</f>
        <v>47</v>
      </c>
      <c r="B64" s="257" t="s">
        <v>182</v>
      </c>
      <c r="C64" s="257" t="s">
        <v>481</v>
      </c>
      <c r="D64" s="297" t="s">
        <v>432</v>
      </c>
      <c r="E64" s="297">
        <v>441.57400000000001</v>
      </c>
      <c r="F64" s="297">
        <v>5</v>
      </c>
      <c r="G64" s="297">
        <f>ROUND(E64*F64,2)</f>
        <v>2207.87</v>
      </c>
      <c r="H64" s="254"/>
      <c r="I64" s="299">
        <v>57.06</v>
      </c>
      <c r="J64" s="300">
        <v>1.9442999999999999</v>
      </c>
      <c r="K64" s="299">
        <f t="shared" si="20"/>
        <v>110.94</v>
      </c>
      <c r="L64" s="301">
        <f t="shared" si="21"/>
        <v>244941.1</v>
      </c>
      <c r="M64" s="299">
        <f t="shared" si="22"/>
        <v>48988.22</v>
      </c>
      <c r="N64" s="250">
        <f t="shared" si="23"/>
        <v>293929.32</v>
      </c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499"/>
      <c r="Z64" s="9"/>
      <c r="AA64" s="18"/>
      <c r="AB64" s="22"/>
      <c r="AC64" s="22"/>
      <c r="AD64" s="22"/>
    </row>
    <row r="65" spans="1:30" s="20" customFormat="1" ht="76.5" hidden="1" x14ac:dyDescent="0.2">
      <c r="A65" s="294">
        <f t="shared" si="24"/>
        <v>48</v>
      </c>
      <c r="B65" s="257" t="s">
        <v>189</v>
      </c>
      <c r="C65" s="257" t="s">
        <v>1</v>
      </c>
      <c r="D65" s="297" t="s">
        <v>355</v>
      </c>
      <c r="E65" s="297">
        <f>(E63+E64)*1000*300/1000/1000</f>
        <v>324.45059999999995</v>
      </c>
      <c r="F65" s="297">
        <v>5</v>
      </c>
      <c r="G65" s="297">
        <f>ROUND(E65*F65,2)</f>
        <v>1622.25</v>
      </c>
      <c r="H65" s="316"/>
      <c r="I65" s="299">
        <v>769.85</v>
      </c>
      <c r="J65" s="300">
        <v>1.9442999999999999</v>
      </c>
      <c r="K65" s="299">
        <f>ROUND(I65*J65,2)</f>
        <v>1496.82</v>
      </c>
      <c r="L65" s="301">
        <f>ROUND(K65*G65,2)</f>
        <v>2428216.25</v>
      </c>
      <c r="M65" s="299">
        <f>ROUND(L65*0.2,2)</f>
        <v>485643.25</v>
      </c>
      <c r="N65" s="250">
        <f>ROUND(M65+L65,2)</f>
        <v>2913859.5</v>
      </c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64"/>
      <c r="Z65" s="9"/>
      <c r="AA65" s="18"/>
      <c r="AB65" s="22"/>
      <c r="AC65" s="22"/>
      <c r="AD65" s="22"/>
    </row>
    <row r="66" spans="1:30" s="20" customFormat="1" ht="78" hidden="1" customHeight="1" x14ac:dyDescent="0.2">
      <c r="A66" s="294">
        <f t="shared" si="24"/>
        <v>49</v>
      </c>
      <c r="B66" s="257" t="s">
        <v>184</v>
      </c>
      <c r="C66" s="257" t="s">
        <v>114</v>
      </c>
      <c r="D66" s="254" t="s">
        <v>431</v>
      </c>
      <c r="E66" s="297">
        <v>1.4</v>
      </c>
      <c r="F66" s="297">
        <v>4</v>
      </c>
      <c r="G66" s="297">
        <f t="shared" si="19"/>
        <v>5.6</v>
      </c>
      <c r="H66" s="316"/>
      <c r="I66" s="299">
        <v>8421.01</v>
      </c>
      <c r="J66" s="300">
        <v>1.9442999999999999</v>
      </c>
      <c r="K66" s="299">
        <f t="shared" si="20"/>
        <v>16372.97</v>
      </c>
      <c r="L66" s="301">
        <f t="shared" si="21"/>
        <v>91688.63</v>
      </c>
      <c r="M66" s="299">
        <f t="shared" si="22"/>
        <v>18337.73</v>
      </c>
      <c r="N66" s="250">
        <f t="shared" si="23"/>
        <v>110026.36</v>
      </c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64"/>
      <c r="Z66" s="9"/>
      <c r="AA66" s="18"/>
      <c r="AB66" s="22"/>
      <c r="AC66" s="22"/>
      <c r="AD66" s="22"/>
    </row>
    <row r="67" spans="1:30" s="20" customFormat="1" ht="39.75" hidden="1" customHeight="1" x14ac:dyDescent="0.2">
      <c r="A67" s="294">
        <f t="shared" si="24"/>
        <v>50</v>
      </c>
      <c r="B67" s="257" t="s">
        <v>185</v>
      </c>
      <c r="C67" s="257" t="s">
        <v>186</v>
      </c>
      <c r="D67" s="297" t="s">
        <v>354</v>
      </c>
      <c r="E67" s="297">
        <v>154.54</v>
      </c>
      <c r="F67" s="297">
        <v>1</v>
      </c>
      <c r="G67" s="297">
        <f t="shared" si="19"/>
        <v>154.54</v>
      </c>
      <c r="H67" s="316"/>
      <c r="I67" s="299">
        <v>234.64</v>
      </c>
      <c r="J67" s="300">
        <v>1.9442999999999999</v>
      </c>
      <c r="K67" s="299">
        <f t="shared" ref="K67:K76" si="25">ROUND(I67*J67,2)</f>
        <v>456.21</v>
      </c>
      <c r="L67" s="301">
        <f t="shared" ref="L67:L76" si="26">ROUND(K67*G67,2)</f>
        <v>70502.69</v>
      </c>
      <c r="M67" s="299">
        <f t="shared" si="22"/>
        <v>14100.54</v>
      </c>
      <c r="N67" s="250">
        <f t="shared" ref="N67:N76" si="27">ROUND(M67+L67,2)</f>
        <v>84603.23</v>
      </c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64"/>
      <c r="Z67" s="9"/>
      <c r="AA67" s="18"/>
      <c r="AB67" s="22"/>
      <c r="AC67" s="22"/>
      <c r="AD67" s="22"/>
    </row>
    <row r="68" spans="1:30" s="20" customFormat="1" ht="76.5" hidden="1" x14ac:dyDescent="0.2">
      <c r="A68" s="294">
        <f t="shared" si="24"/>
        <v>51</v>
      </c>
      <c r="B68" s="257" t="s">
        <v>187</v>
      </c>
      <c r="C68" s="257" t="s">
        <v>93</v>
      </c>
      <c r="D68" s="297" t="s">
        <v>354</v>
      </c>
      <c r="E68" s="297">
        <v>675</v>
      </c>
      <c r="F68" s="297">
        <v>1</v>
      </c>
      <c r="G68" s="297">
        <f t="shared" si="19"/>
        <v>675</v>
      </c>
      <c r="H68" s="316"/>
      <c r="I68" s="299">
        <v>238.67</v>
      </c>
      <c r="J68" s="300">
        <v>1.9442999999999999</v>
      </c>
      <c r="K68" s="299">
        <f t="shared" si="25"/>
        <v>464.05</v>
      </c>
      <c r="L68" s="301">
        <f t="shared" si="26"/>
        <v>313233.75</v>
      </c>
      <c r="M68" s="299">
        <f t="shared" si="22"/>
        <v>62646.75</v>
      </c>
      <c r="N68" s="250">
        <f t="shared" si="27"/>
        <v>375880.5</v>
      </c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64"/>
      <c r="Z68" s="9"/>
      <c r="AA68" s="18"/>
      <c r="AB68" s="22"/>
      <c r="AC68" s="22"/>
      <c r="AD68" s="22"/>
    </row>
    <row r="69" spans="1:30" s="20" customFormat="1" ht="76.5" hidden="1" x14ac:dyDescent="0.2">
      <c r="A69" s="294">
        <f t="shared" si="24"/>
        <v>52</v>
      </c>
      <c r="B69" s="257" t="s">
        <v>188</v>
      </c>
      <c r="C69" s="257" t="s">
        <v>94</v>
      </c>
      <c r="D69" s="297" t="s">
        <v>422</v>
      </c>
      <c r="E69" s="297">
        <v>553</v>
      </c>
      <c r="F69" s="297">
        <v>1</v>
      </c>
      <c r="G69" s="297">
        <f t="shared" si="19"/>
        <v>553</v>
      </c>
      <c r="H69" s="316"/>
      <c r="I69" s="299">
        <v>6.22</v>
      </c>
      <c r="J69" s="300">
        <v>1.9442999999999999</v>
      </c>
      <c r="K69" s="299">
        <f t="shared" si="25"/>
        <v>12.09</v>
      </c>
      <c r="L69" s="301">
        <f t="shared" si="26"/>
        <v>6685.77</v>
      </c>
      <c r="M69" s="299">
        <f t="shared" si="22"/>
        <v>1337.15</v>
      </c>
      <c r="N69" s="250">
        <f t="shared" si="27"/>
        <v>8022.92</v>
      </c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64"/>
      <c r="Z69" s="9"/>
      <c r="AA69" s="18"/>
      <c r="AB69" s="22"/>
      <c r="AC69" s="22"/>
      <c r="AD69" s="22"/>
    </row>
    <row r="70" spans="1:30" s="20" customFormat="1" ht="51" hidden="1" x14ac:dyDescent="0.2">
      <c r="A70" s="294">
        <f t="shared" si="24"/>
        <v>53</v>
      </c>
      <c r="B70" s="257" t="s">
        <v>482</v>
      </c>
      <c r="C70" s="257" t="s">
        <v>483</v>
      </c>
      <c r="D70" s="254" t="s">
        <v>422</v>
      </c>
      <c r="E70" s="254">
        <v>250</v>
      </c>
      <c r="F70" s="254">
        <v>1</v>
      </c>
      <c r="G70" s="254">
        <f t="shared" si="19"/>
        <v>250</v>
      </c>
      <c r="H70" s="254"/>
      <c r="I70" s="299">
        <v>134.49</v>
      </c>
      <c r="J70" s="300">
        <v>1.9442999999999999</v>
      </c>
      <c r="K70" s="299">
        <f t="shared" si="25"/>
        <v>261.49</v>
      </c>
      <c r="L70" s="301">
        <f t="shared" si="26"/>
        <v>65372.5</v>
      </c>
      <c r="M70" s="299">
        <f t="shared" si="22"/>
        <v>13074.5</v>
      </c>
      <c r="N70" s="250">
        <f t="shared" si="27"/>
        <v>78447</v>
      </c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64"/>
      <c r="Z70" s="9"/>
      <c r="AA70" s="18"/>
      <c r="AB70" s="22"/>
      <c r="AC70" s="22"/>
      <c r="AD70" s="22"/>
    </row>
    <row r="71" spans="1:30" s="20" customFormat="1" ht="76.5" hidden="1" x14ac:dyDescent="0.2">
      <c r="A71" s="294">
        <f t="shared" si="24"/>
        <v>54</v>
      </c>
      <c r="B71" s="257" t="s">
        <v>190</v>
      </c>
      <c r="C71" s="257" t="s">
        <v>171</v>
      </c>
      <c r="D71" s="297" t="s">
        <v>422</v>
      </c>
      <c r="E71" s="297">
        <v>537</v>
      </c>
      <c r="F71" s="297">
        <v>3</v>
      </c>
      <c r="G71" s="297">
        <f t="shared" si="19"/>
        <v>1611</v>
      </c>
      <c r="H71" s="254"/>
      <c r="I71" s="299">
        <v>12.79</v>
      </c>
      <c r="J71" s="300">
        <v>1.9442999999999999</v>
      </c>
      <c r="K71" s="299">
        <f t="shared" si="25"/>
        <v>24.87</v>
      </c>
      <c r="L71" s="301">
        <f t="shared" si="26"/>
        <v>40065.57</v>
      </c>
      <c r="M71" s="299">
        <f t="shared" si="22"/>
        <v>8013.11</v>
      </c>
      <c r="N71" s="250">
        <f t="shared" si="27"/>
        <v>48078.68</v>
      </c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64"/>
      <c r="Z71" s="9"/>
      <c r="AA71" s="18"/>
      <c r="AB71" s="22"/>
      <c r="AC71" s="22"/>
      <c r="AD71" s="22"/>
    </row>
    <row r="72" spans="1:30" s="20" customFormat="1" ht="51" hidden="1" x14ac:dyDescent="0.2">
      <c r="A72" s="294">
        <f t="shared" si="24"/>
        <v>55</v>
      </c>
      <c r="B72" s="257" t="s">
        <v>484</v>
      </c>
      <c r="C72" s="313" t="s">
        <v>485</v>
      </c>
      <c r="D72" s="297" t="s">
        <v>422</v>
      </c>
      <c r="E72" s="297">
        <v>904</v>
      </c>
      <c r="F72" s="297">
        <v>2</v>
      </c>
      <c r="G72" s="297">
        <f t="shared" si="19"/>
        <v>1808</v>
      </c>
      <c r="H72" s="254"/>
      <c r="I72" s="299">
        <v>10.81</v>
      </c>
      <c r="J72" s="300">
        <v>1.9442999999999999</v>
      </c>
      <c r="K72" s="299">
        <f t="shared" si="25"/>
        <v>21.02</v>
      </c>
      <c r="L72" s="301">
        <f t="shared" si="26"/>
        <v>38004.160000000003</v>
      </c>
      <c r="M72" s="299">
        <f t="shared" si="22"/>
        <v>7600.83</v>
      </c>
      <c r="N72" s="250">
        <f t="shared" si="27"/>
        <v>45604.99</v>
      </c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64"/>
      <c r="Z72" s="9"/>
      <c r="AA72" s="18"/>
      <c r="AB72" s="22"/>
      <c r="AC72" s="22"/>
      <c r="AD72" s="22"/>
    </row>
    <row r="73" spans="1:30" s="20" customFormat="1" ht="51" hidden="1" x14ac:dyDescent="0.2">
      <c r="A73" s="294">
        <f t="shared" si="24"/>
        <v>56</v>
      </c>
      <c r="B73" s="313" t="s">
        <v>486</v>
      </c>
      <c r="C73" s="257" t="s">
        <v>487</v>
      </c>
      <c r="D73" s="297" t="s">
        <v>422</v>
      </c>
      <c r="E73" s="297">
        <v>1004</v>
      </c>
      <c r="F73" s="297">
        <v>2</v>
      </c>
      <c r="G73" s="297">
        <f t="shared" si="19"/>
        <v>2008</v>
      </c>
      <c r="H73" s="254"/>
      <c r="I73" s="299">
        <v>8.8800000000000008</v>
      </c>
      <c r="J73" s="300">
        <v>1.9442999999999999</v>
      </c>
      <c r="K73" s="299">
        <f t="shared" si="25"/>
        <v>17.27</v>
      </c>
      <c r="L73" s="301">
        <f t="shared" si="26"/>
        <v>34678.160000000003</v>
      </c>
      <c r="M73" s="299">
        <f t="shared" si="22"/>
        <v>6935.63</v>
      </c>
      <c r="N73" s="250">
        <f t="shared" si="27"/>
        <v>41613.79</v>
      </c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64"/>
      <c r="Z73" s="9"/>
      <c r="AA73" s="18"/>
      <c r="AB73" s="22"/>
      <c r="AC73" s="22"/>
      <c r="AD73" s="22"/>
    </row>
    <row r="74" spans="1:30" s="20" customFormat="1" ht="51" hidden="1" x14ac:dyDescent="0.2">
      <c r="A74" s="294">
        <f t="shared" si="24"/>
        <v>57</v>
      </c>
      <c r="B74" s="257" t="s">
        <v>488</v>
      </c>
      <c r="C74" s="257" t="s">
        <v>489</v>
      </c>
      <c r="D74" s="297" t="s">
        <v>433</v>
      </c>
      <c r="E74" s="297">
        <v>461</v>
      </c>
      <c r="F74" s="297">
        <v>2</v>
      </c>
      <c r="G74" s="297">
        <f t="shared" si="19"/>
        <v>922</v>
      </c>
      <c r="H74" s="254"/>
      <c r="I74" s="299">
        <v>1.9870000000000001</v>
      </c>
      <c r="J74" s="300">
        <v>1.9442999999999999</v>
      </c>
      <c r="K74" s="299">
        <f>ROUND(I74*J74,2)</f>
        <v>3.86</v>
      </c>
      <c r="L74" s="301">
        <f>ROUND(K74*G74,2)</f>
        <v>3558.92</v>
      </c>
      <c r="M74" s="299">
        <f t="shared" si="22"/>
        <v>711.78</v>
      </c>
      <c r="N74" s="250">
        <f t="shared" si="27"/>
        <v>4270.7</v>
      </c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64"/>
      <c r="Z74" s="9"/>
      <c r="AA74" s="18"/>
      <c r="AB74" s="22"/>
      <c r="AC74" s="22"/>
      <c r="AD74" s="22"/>
    </row>
    <row r="75" spans="1:30" s="20" customFormat="1" ht="51" hidden="1" x14ac:dyDescent="0.2">
      <c r="A75" s="294">
        <f t="shared" si="24"/>
        <v>58</v>
      </c>
      <c r="B75" s="257" t="s">
        <v>490</v>
      </c>
      <c r="C75" s="257" t="s">
        <v>491</v>
      </c>
      <c r="D75" s="297" t="s">
        <v>433</v>
      </c>
      <c r="E75" s="297">
        <f>E74</f>
        <v>461</v>
      </c>
      <c r="F75" s="297">
        <v>2</v>
      </c>
      <c r="G75" s="297">
        <f t="shared" si="19"/>
        <v>922</v>
      </c>
      <c r="H75" s="254"/>
      <c r="I75" s="299">
        <v>4.8899999999999997</v>
      </c>
      <c r="J75" s="300">
        <v>1.9442999999999999</v>
      </c>
      <c r="K75" s="299">
        <f t="shared" si="25"/>
        <v>9.51</v>
      </c>
      <c r="L75" s="301">
        <f t="shared" si="26"/>
        <v>8768.2199999999993</v>
      </c>
      <c r="M75" s="299">
        <f t="shared" si="22"/>
        <v>1753.64</v>
      </c>
      <c r="N75" s="250">
        <f t="shared" si="27"/>
        <v>10521.86</v>
      </c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64"/>
      <c r="Z75" s="9"/>
      <c r="AA75" s="18"/>
      <c r="AB75" s="22"/>
      <c r="AC75" s="22"/>
      <c r="AD75" s="22"/>
    </row>
    <row r="76" spans="1:30" s="20" customFormat="1" ht="38.25" hidden="1" x14ac:dyDescent="0.2">
      <c r="A76" s="294">
        <f t="shared" si="24"/>
        <v>59</v>
      </c>
      <c r="B76" s="222" t="s">
        <v>480</v>
      </c>
      <c r="C76" s="257" t="s">
        <v>517</v>
      </c>
      <c r="D76" s="314" t="s">
        <v>508</v>
      </c>
      <c r="E76" s="297">
        <v>1</v>
      </c>
      <c r="F76" s="297">
        <v>92</v>
      </c>
      <c r="G76" s="297">
        <f t="shared" si="19"/>
        <v>92</v>
      </c>
      <c r="H76" s="254"/>
      <c r="I76" s="299">
        <v>535.76</v>
      </c>
      <c r="J76" s="308">
        <v>1</v>
      </c>
      <c r="K76" s="299">
        <f t="shared" si="25"/>
        <v>535.76</v>
      </c>
      <c r="L76" s="301">
        <f t="shared" si="26"/>
        <v>49289.919999999998</v>
      </c>
      <c r="M76" s="299">
        <f t="shared" si="22"/>
        <v>9857.98</v>
      </c>
      <c r="N76" s="250">
        <f t="shared" si="27"/>
        <v>59147.9</v>
      </c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9"/>
      <c r="AA76" s="18"/>
      <c r="AB76" s="22"/>
      <c r="AC76" s="22"/>
      <c r="AD76" s="22"/>
    </row>
    <row r="77" spans="1:30" s="20" customFormat="1" ht="67.5" hidden="1" customHeight="1" x14ac:dyDescent="0.2">
      <c r="A77" s="294">
        <f t="shared" si="24"/>
        <v>60</v>
      </c>
      <c r="B77" s="220" t="s">
        <v>480</v>
      </c>
      <c r="C77" s="302" t="s">
        <v>512</v>
      </c>
      <c r="D77" s="303" t="s">
        <v>507</v>
      </c>
      <c r="E77" s="254">
        <v>7</v>
      </c>
      <c r="F77" s="254">
        <v>3</v>
      </c>
      <c r="G77" s="297">
        <f t="shared" si="19"/>
        <v>21</v>
      </c>
      <c r="H77" s="254"/>
      <c r="I77" s="299">
        <v>4248.72</v>
      </c>
      <c r="J77" s="300">
        <v>1.9442999999999999</v>
      </c>
      <c r="K77" s="299">
        <f>ROUND(I77*J77,2)</f>
        <v>8260.7900000000009</v>
      </c>
      <c r="L77" s="301">
        <f>ROUND(K77*G77,2)</f>
        <v>173476.59</v>
      </c>
      <c r="M77" s="299">
        <f>ROUND(L77*0.2,2)</f>
        <v>34695.32</v>
      </c>
      <c r="N77" s="250">
        <f>ROUND(M77+L77,2)</f>
        <v>208171.91</v>
      </c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143"/>
      <c r="Z77" s="9"/>
      <c r="AA77" s="18"/>
      <c r="AB77" s="22"/>
      <c r="AC77" s="22"/>
      <c r="AD77" s="22"/>
    </row>
    <row r="78" spans="1:30" s="20" customFormat="1" ht="25.5" hidden="1" x14ac:dyDescent="0.2">
      <c r="A78" s="294"/>
      <c r="B78" s="317"/>
      <c r="C78" s="219" t="s">
        <v>6</v>
      </c>
      <c r="D78" s="254"/>
      <c r="E78" s="254"/>
      <c r="F78" s="254"/>
      <c r="G78" s="254"/>
      <c r="H78" s="254"/>
      <c r="I78" s="299"/>
      <c r="J78" s="300"/>
      <c r="K78" s="299"/>
      <c r="L78" s="301"/>
      <c r="M78" s="154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136">
        <v>8425253.8100000024</v>
      </c>
      <c r="Z78" s="9"/>
      <c r="AA78" s="18"/>
      <c r="AB78" s="22"/>
      <c r="AC78" s="22"/>
      <c r="AD78" s="22"/>
    </row>
    <row r="79" spans="1:30" s="20" customFormat="1" ht="48" hidden="1" customHeight="1" x14ac:dyDescent="0.2">
      <c r="A79" s="294"/>
      <c r="B79" s="291"/>
      <c r="C79" s="219" t="s">
        <v>7</v>
      </c>
      <c r="D79" s="318"/>
      <c r="E79" s="223"/>
      <c r="F79" s="319"/>
      <c r="G79" s="250"/>
      <c r="H79" s="298"/>
      <c r="I79" s="299"/>
      <c r="J79" s="300"/>
      <c r="K79" s="299"/>
      <c r="L79" s="301"/>
      <c r="M79" s="154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143"/>
      <c r="Z79" s="9"/>
      <c r="AA79" s="18"/>
      <c r="AB79" s="22"/>
      <c r="AC79" s="22"/>
      <c r="AD79" s="22"/>
    </row>
    <row r="80" spans="1:30" s="20" customFormat="1" ht="12.75" hidden="1" x14ac:dyDescent="0.2">
      <c r="A80" s="294"/>
      <c r="B80" s="291"/>
      <c r="C80" s="224" t="s">
        <v>441</v>
      </c>
      <c r="D80" s="318"/>
      <c r="E80" s="320"/>
      <c r="F80" s="319"/>
      <c r="G80" s="250"/>
      <c r="H80" s="298"/>
      <c r="I80" s="299"/>
      <c r="J80" s="300"/>
      <c r="K80" s="299"/>
      <c r="L80" s="301"/>
      <c r="M80" s="154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8"/>
      <c r="Z80" s="9"/>
      <c r="AA80" s="18"/>
      <c r="AB80" s="22"/>
      <c r="AC80" s="22"/>
      <c r="AD80" s="22"/>
    </row>
    <row r="81" spans="1:30" s="20" customFormat="1" ht="76.5" hidden="1" x14ac:dyDescent="0.2">
      <c r="A81" s="294">
        <f>A77+1</f>
        <v>61</v>
      </c>
      <c r="B81" s="257" t="s">
        <v>151</v>
      </c>
      <c r="C81" s="257" t="s">
        <v>116</v>
      </c>
      <c r="D81" s="254" t="s">
        <v>118</v>
      </c>
      <c r="E81" s="254">
        <v>1.32</v>
      </c>
      <c r="F81" s="254">
        <v>2</v>
      </c>
      <c r="G81" s="254">
        <f>F81*E81</f>
        <v>2.64</v>
      </c>
      <c r="H81" s="254"/>
      <c r="I81" s="299">
        <v>44.32</v>
      </c>
      <c r="J81" s="300">
        <v>1.9442999999999999</v>
      </c>
      <c r="K81" s="299">
        <f>ROUND(I81*J81,2)</f>
        <v>86.17</v>
      </c>
      <c r="L81" s="301">
        <f t="shared" ref="L81:L112" si="28">ROUND(K81*G81,2)</f>
        <v>227.49</v>
      </c>
      <c r="M81" s="154">
        <f>ROUND(L81*0.2,2)</f>
        <v>45.5</v>
      </c>
      <c r="N81" s="73">
        <f>ROUND(M81+L81,2)</f>
        <v>272.99</v>
      </c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64"/>
      <c r="Z81" s="9"/>
      <c r="AA81" s="18"/>
      <c r="AB81" s="22"/>
      <c r="AC81" s="22"/>
      <c r="AD81" s="22"/>
    </row>
    <row r="82" spans="1:30" s="20" customFormat="1" ht="76.5" hidden="1" x14ac:dyDescent="0.2">
      <c r="A82" s="294">
        <f>A81+1</f>
        <v>62</v>
      </c>
      <c r="B82" s="257" t="s">
        <v>191</v>
      </c>
      <c r="C82" s="257" t="s">
        <v>117</v>
      </c>
      <c r="D82" s="254" t="s">
        <v>432</v>
      </c>
      <c r="E82" s="254">
        <v>3.7999999999999999E-2</v>
      </c>
      <c r="F82" s="254">
        <v>3</v>
      </c>
      <c r="G82" s="254">
        <f>F82*E82</f>
        <v>0.11399999999999999</v>
      </c>
      <c r="H82" s="254"/>
      <c r="I82" s="299">
        <v>4728.2</v>
      </c>
      <c r="J82" s="300">
        <v>1.9442999999999999</v>
      </c>
      <c r="K82" s="299">
        <f>ROUND(I82*J82,2)</f>
        <v>9193.0400000000009</v>
      </c>
      <c r="L82" s="301">
        <f t="shared" si="28"/>
        <v>1048.01</v>
      </c>
      <c r="M82" s="154">
        <f>ROUND(L82*0.2,2)</f>
        <v>209.6</v>
      </c>
      <c r="N82" s="73">
        <f>ROUND(M82+L82,2)</f>
        <v>1257.6099999999999</v>
      </c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64"/>
      <c r="Z82" s="9"/>
      <c r="AA82" s="18"/>
      <c r="AB82" s="22"/>
      <c r="AC82" s="22"/>
      <c r="AD82" s="22"/>
    </row>
    <row r="83" spans="1:30" s="20" customFormat="1" ht="51" hidden="1" x14ac:dyDescent="0.2">
      <c r="A83" s="294">
        <f>A82+1</f>
        <v>63</v>
      </c>
      <c r="B83" s="257" t="s">
        <v>492</v>
      </c>
      <c r="C83" s="257" t="s">
        <v>493</v>
      </c>
      <c r="D83" s="305" t="s">
        <v>433</v>
      </c>
      <c r="E83" s="305">
        <v>132</v>
      </c>
      <c r="F83" s="305">
        <v>1</v>
      </c>
      <c r="G83" s="254">
        <f>F83*E83</f>
        <v>132</v>
      </c>
      <c r="H83" s="254"/>
      <c r="I83" s="299">
        <v>83.24</v>
      </c>
      <c r="J83" s="300">
        <v>1.9442999999999999</v>
      </c>
      <c r="K83" s="299">
        <f>ROUND(I83*J83,2)</f>
        <v>161.84</v>
      </c>
      <c r="L83" s="301">
        <f>ROUND(K83*G83,2)</f>
        <v>21362.880000000001</v>
      </c>
      <c r="M83" s="154">
        <f>ROUND(L83*0.2,2)</f>
        <v>4272.58</v>
      </c>
      <c r="N83" s="73">
        <f>ROUND(M83+L83,2)</f>
        <v>25635.46</v>
      </c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64"/>
      <c r="Z83" s="9"/>
      <c r="AA83" s="18"/>
      <c r="AB83" s="22"/>
      <c r="AC83" s="22"/>
      <c r="AD83" s="22"/>
    </row>
    <row r="84" spans="1:30" s="20" customFormat="1" ht="51" hidden="1" x14ac:dyDescent="0.2">
      <c r="A84" s="294">
        <f>A83+1</f>
        <v>64</v>
      </c>
      <c r="B84" s="257" t="s">
        <v>494</v>
      </c>
      <c r="C84" s="321" t="s">
        <v>471</v>
      </c>
      <c r="D84" s="305" t="s">
        <v>433</v>
      </c>
      <c r="E84" s="305">
        <v>132</v>
      </c>
      <c r="F84" s="305">
        <v>2</v>
      </c>
      <c r="G84" s="254">
        <f>F84*E84</f>
        <v>264</v>
      </c>
      <c r="H84" s="254"/>
      <c r="I84" s="299">
        <v>2.89</v>
      </c>
      <c r="J84" s="300">
        <v>1.9442999999999999</v>
      </c>
      <c r="K84" s="299">
        <f>ROUND(I84*J84,2)</f>
        <v>5.62</v>
      </c>
      <c r="L84" s="301">
        <f>ROUND(K84*G84,2)</f>
        <v>1483.68</v>
      </c>
      <c r="M84" s="154">
        <f>ROUND(L84*0.2,2)</f>
        <v>296.74</v>
      </c>
      <c r="N84" s="73">
        <f>ROUND(M84+L84,2)</f>
        <v>1780.42</v>
      </c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143"/>
      <c r="Z84" s="9"/>
      <c r="AA84" s="18"/>
      <c r="AB84" s="22"/>
      <c r="AC84" s="22"/>
      <c r="AD84" s="22"/>
    </row>
    <row r="85" spans="1:30" s="20" customFormat="1" ht="12.75" hidden="1" x14ac:dyDescent="0.2">
      <c r="A85" s="294"/>
      <c r="B85" s="257"/>
      <c r="C85" s="224" t="s">
        <v>530</v>
      </c>
      <c r="D85" s="305"/>
      <c r="E85" s="305"/>
      <c r="F85" s="305"/>
      <c r="G85" s="305"/>
      <c r="H85" s="254"/>
      <c r="I85" s="299"/>
      <c r="J85" s="300"/>
      <c r="K85" s="299"/>
      <c r="L85" s="301"/>
      <c r="M85" s="154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64"/>
      <c r="Z85" s="9"/>
      <c r="AA85" s="18"/>
      <c r="AB85" s="22"/>
      <c r="AC85" s="22"/>
      <c r="AD85" s="22"/>
    </row>
    <row r="86" spans="1:30" s="20" customFormat="1" ht="76.5" hidden="1" x14ac:dyDescent="0.2">
      <c r="A86" s="294">
        <f>A84+1</f>
        <v>65</v>
      </c>
      <c r="B86" s="257" t="s">
        <v>192</v>
      </c>
      <c r="C86" s="257" t="s">
        <v>119</v>
      </c>
      <c r="D86" s="254" t="s">
        <v>432</v>
      </c>
      <c r="E86" s="305">
        <v>3.7999999999999999E-2</v>
      </c>
      <c r="F86" s="305">
        <v>3</v>
      </c>
      <c r="G86" s="254">
        <f>F86*E86</f>
        <v>0.11399999999999999</v>
      </c>
      <c r="H86" s="254"/>
      <c r="I86" s="299">
        <v>7314.22</v>
      </c>
      <c r="J86" s="300">
        <v>1.9442999999999999</v>
      </c>
      <c r="K86" s="299">
        <f>ROUND(I86*J86,2)</f>
        <v>14221.04</v>
      </c>
      <c r="L86" s="301">
        <f>ROUND(K86*G86,2)</f>
        <v>1621.2</v>
      </c>
      <c r="M86" s="154">
        <f>ROUND(L86*0.2,2)</f>
        <v>324.24</v>
      </c>
      <c r="N86" s="73">
        <f>ROUND(M86+L86,2)</f>
        <v>1945.44</v>
      </c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143"/>
      <c r="Z86" s="9"/>
      <c r="AA86" s="18"/>
      <c r="AB86" s="22"/>
      <c r="AC86" s="22"/>
      <c r="AD86" s="22"/>
    </row>
    <row r="87" spans="1:30" s="20" customFormat="1" ht="76.5" hidden="1" x14ac:dyDescent="0.2">
      <c r="A87" s="294">
        <f>A86+1</f>
        <v>66</v>
      </c>
      <c r="B87" s="257" t="s">
        <v>193</v>
      </c>
      <c r="C87" s="257" t="s">
        <v>142</v>
      </c>
      <c r="D87" s="305" t="s">
        <v>433</v>
      </c>
      <c r="E87" s="305">
        <v>132</v>
      </c>
      <c r="F87" s="305">
        <v>3</v>
      </c>
      <c r="G87" s="254">
        <f>F87*E87</f>
        <v>396</v>
      </c>
      <c r="H87" s="254"/>
      <c r="I87" s="299">
        <v>1.99</v>
      </c>
      <c r="J87" s="300">
        <v>1.9442999999999999</v>
      </c>
      <c r="K87" s="299">
        <f>ROUND(I87*J87,2)</f>
        <v>3.87</v>
      </c>
      <c r="L87" s="301">
        <f>ROUND(K87*G87,2)</f>
        <v>1532.52</v>
      </c>
      <c r="M87" s="154">
        <f>ROUND(L87*0.2,2)</f>
        <v>306.5</v>
      </c>
      <c r="N87" s="73">
        <f>ROUND(M87+L87,2)</f>
        <v>1839.02</v>
      </c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171"/>
      <c r="Z87" s="9"/>
      <c r="AA87" s="18"/>
      <c r="AB87" s="22"/>
      <c r="AC87" s="22"/>
      <c r="AD87" s="22"/>
    </row>
    <row r="88" spans="1:30" s="20" customFormat="1" ht="38.25" hidden="1" x14ac:dyDescent="0.2">
      <c r="A88" s="294"/>
      <c r="B88" s="257"/>
      <c r="C88" s="224" t="s">
        <v>442</v>
      </c>
      <c r="D88" s="254"/>
      <c r="E88" s="254"/>
      <c r="F88" s="254"/>
      <c r="G88" s="254"/>
      <c r="H88" s="254"/>
      <c r="I88" s="299"/>
      <c r="J88" s="300"/>
      <c r="K88" s="299"/>
      <c r="L88" s="301"/>
      <c r="M88" s="154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171"/>
      <c r="Z88" s="9"/>
      <c r="AA88" s="18"/>
      <c r="AB88" s="22"/>
      <c r="AC88" s="22"/>
      <c r="AD88" s="22"/>
    </row>
    <row r="89" spans="1:30" s="20" customFormat="1" ht="76.5" hidden="1" x14ac:dyDescent="0.2">
      <c r="A89" s="294">
        <f>A87+1</f>
        <v>67</v>
      </c>
      <c r="B89" s="257" t="s">
        <v>194</v>
      </c>
      <c r="C89" s="257" t="s">
        <v>144</v>
      </c>
      <c r="D89" s="254" t="s">
        <v>435</v>
      </c>
      <c r="E89" s="254">
        <v>3</v>
      </c>
      <c r="F89" s="254">
        <v>2</v>
      </c>
      <c r="G89" s="254">
        <f t="shared" ref="G89:G95" si="29">F89*E89</f>
        <v>6</v>
      </c>
      <c r="H89" s="254"/>
      <c r="I89" s="299">
        <v>964.56</v>
      </c>
      <c r="J89" s="300">
        <v>1.9442999999999999</v>
      </c>
      <c r="K89" s="299">
        <f t="shared" ref="K89:K95" si="30">ROUND(I89*J89,2)</f>
        <v>1875.39</v>
      </c>
      <c r="L89" s="301">
        <f t="shared" si="28"/>
        <v>11252.34</v>
      </c>
      <c r="M89" s="154">
        <f t="shared" ref="M89:M95" si="31">ROUND(L89*0.2,2)</f>
        <v>2250.4699999999998</v>
      </c>
      <c r="N89" s="73">
        <f t="shared" ref="N89:N101" si="32">ROUND(M89+L89,2)</f>
        <v>13502.81</v>
      </c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64"/>
      <c r="Z89" s="9"/>
      <c r="AA89" s="18"/>
      <c r="AB89" s="22"/>
      <c r="AC89" s="22"/>
      <c r="AD89" s="22"/>
    </row>
    <row r="90" spans="1:30" s="20" customFormat="1" ht="63.75" hidden="1" x14ac:dyDescent="0.2">
      <c r="A90" s="294">
        <f t="shared" ref="A90:A95" si="33">A89+1</f>
        <v>68</v>
      </c>
      <c r="B90" s="310" t="s">
        <v>412</v>
      </c>
      <c r="C90" s="257" t="s">
        <v>121</v>
      </c>
      <c r="D90" s="254" t="s">
        <v>435</v>
      </c>
      <c r="E90" s="254">
        <v>2</v>
      </c>
      <c r="F90" s="254">
        <v>6</v>
      </c>
      <c r="G90" s="254">
        <f t="shared" si="29"/>
        <v>12</v>
      </c>
      <c r="H90" s="254"/>
      <c r="I90" s="299">
        <v>130.31</v>
      </c>
      <c r="J90" s="300">
        <v>9.86</v>
      </c>
      <c r="K90" s="299">
        <f t="shared" si="30"/>
        <v>1284.8599999999999</v>
      </c>
      <c r="L90" s="301">
        <f t="shared" si="28"/>
        <v>15418.32</v>
      </c>
      <c r="M90" s="154">
        <f t="shared" si="31"/>
        <v>3083.66</v>
      </c>
      <c r="N90" s="73">
        <f t="shared" si="32"/>
        <v>18501.98</v>
      </c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64"/>
      <c r="Z90" s="9"/>
      <c r="AA90" s="18"/>
      <c r="AB90" s="22"/>
      <c r="AC90" s="22"/>
      <c r="AD90" s="22"/>
    </row>
    <row r="91" spans="1:30" s="20" customFormat="1" ht="63.75" hidden="1" x14ac:dyDescent="0.2">
      <c r="A91" s="294">
        <f t="shared" si="33"/>
        <v>69</v>
      </c>
      <c r="B91" s="310" t="s">
        <v>413</v>
      </c>
      <c r="C91" s="257" t="s">
        <v>423</v>
      </c>
      <c r="D91" s="254" t="s">
        <v>435</v>
      </c>
      <c r="E91" s="254">
        <v>2</v>
      </c>
      <c r="F91" s="254">
        <v>6</v>
      </c>
      <c r="G91" s="254">
        <f t="shared" si="29"/>
        <v>12</v>
      </c>
      <c r="H91" s="254"/>
      <c r="I91" s="299">
        <v>18.62</v>
      </c>
      <c r="J91" s="300">
        <v>9.86</v>
      </c>
      <c r="K91" s="299">
        <f t="shared" si="30"/>
        <v>183.59</v>
      </c>
      <c r="L91" s="301">
        <f t="shared" si="28"/>
        <v>2203.08</v>
      </c>
      <c r="M91" s="154">
        <f t="shared" si="31"/>
        <v>440.62</v>
      </c>
      <c r="N91" s="73">
        <f t="shared" si="32"/>
        <v>2643.7</v>
      </c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64"/>
      <c r="Z91" s="9"/>
      <c r="AA91" s="18"/>
      <c r="AB91" s="22"/>
      <c r="AC91" s="22"/>
      <c r="AD91" s="22"/>
    </row>
    <row r="92" spans="1:30" s="20" customFormat="1" ht="63.75" hidden="1" x14ac:dyDescent="0.2">
      <c r="A92" s="294">
        <f t="shared" si="33"/>
        <v>70</v>
      </c>
      <c r="B92" s="310" t="s">
        <v>414</v>
      </c>
      <c r="C92" s="257" t="s">
        <v>424</v>
      </c>
      <c r="D92" s="254" t="s">
        <v>435</v>
      </c>
      <c r="E92" s="254">
        <v>1</v>
      </c>
      <c r="F92" s="254">
        <v>2</v>
      </c>
      <c r="G92" s="254">
        <f t="shared" si="29"/>
        <v>2</v>
      </c>
      <c r="H92" s="254"/>
      <c r="I92" s="299">
        <v>161.86000000000001</v>
      </c>
      <c r="J92" s="300">
        <v>9.86</v>
      </c>
      <c r="K92" s="299">
        <f t="shared" si="30"/>
        <v>1595.94</v>
      </c>
      <c r="L92" s="301">
        <f t="shared" si="28"/>
        <v>3191.88</v>
      </c>
      <c r="M92" s="154">
        <f t="shared" si="31"/>
        <v>638.38</v>
      </c>
      <c r="N92" s="73">
        <f t="shared" si="32"/>
        <v>3830.26</v>
      </c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64"/>
      <c r="Z92" s="9"/>
      <c r="AA92" s="18"/>
      <c r="AB92" s="22"/>
      <c r="AC92" s="22"/>
      <c r="AD92" s="22"/>
    </row>
    <row r="93" spans="1:30" s="20" customFormat="1" ht="63.75" hidden="1" x14ac:dyDescent="0.2">
      <c r="A93" s="294">
        <f t="shared" si="33"/>
        <v>71</v>
      </c>
      <c r="B93" s="310" t="s">
        <v>415</v>
      </c>
      <c r="C93" s="257" t="s">
        <v>122</v>
      </c>
      <c r="D93" s="254" t="s">
        <v>435</v>
      </c>
      <c r="E93" s="254">
        <v>1</v>
      </c>
      <c r="F93" s="254">
        <v>2</v>
      </c>
      <c r="G93" s="254">
        <f t="shared" si="29"/>
        <v>2</v>
      </c>
      <c r="H93" s="254"/>
      <c r="I93" s="299">
        <v>501.73</v>
      </c>
      <c r="J93" s="300">
        <v>9.86</v>
      </c>
      <c r="K93" s="299">
        <f t="shared" si="30"/>
        <v>4947.0600000000004</v>
      </c>
      <c r="L93" s="301">
        <f t="shared" si="28"/>
        <v>9894.1200000000008</v>
      </c>
      <c r="M93" s="154">
        <f t="shared" si="31"/>
        <v>1978.82</v>
      </c>
      <c r="N93" s="73">
        <f t="shared" si="32"/>
        <v>11872.94</v>
      </c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64"/>
      <c r="Z93" s="9"/>
      <c r="AA93" s="18"/>
      <c r="AB93" s="22"/>
      <c r="AC93" s="22"/>
      <c r="AD93" s="22"/>
    </row>
    <row r="94" spans="1:30" s="20" customFormat="1" ht="63.75" hidden="1" x14ac:dyDescent="0.2">
      <c r="A94" s="294">
        <f t="shared" si="33"/>
        <v>72</v>
      </c>
      <c r="B94" s="310" t="s">
        <v>416</v>
      </c>
      <c r="C94" s="257" t="s">
        <v>123</v>
      </c>
      <c r="D94" s="254" t="s">
        <v>435</v>
      </c>
      <c r="E94" s="254">
        <v>2</v>
      </c>
      <c r="F94" s="254">
        <v>6</v>
      </c>
      <c r="G94" s="254">
        <f t="shared" si="29"/>
        <v>12</v>
      </c>
      <c r="H94" s="254"/>
      <c r="I94" s="299">
        <v>135.63999999999999</v>
      </c>
      <c r="J94" s="300">
        <v>9.86</v>
      </c>
      <c r="K94" s="299">
        <f t="shared" si="30"/>
        <v>1337.41</v>
      </c>
      <c r="L94" s="301">
        <f t="shared" si="28"/>
        <v>16048.92</v>
      </c>
      <c r="M94" s="154">
        <f t="shared" si="31"/>
        <v>3209.78</v>
      </c>
      <c r="N94" s="73">
        <f t="shared" si="32"/>
        <v>19258.7</v>
      </c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143"/>
      <c r="Z94" s="9"/>
      <c r="AA94" s="18"/>
      <c r="AB94" s="22"/>
      <c r="AC94" s="22"/>
      <c r="AD94" s="22"/>
    </row>
    <row r="95" spans="1:30" s="20" customFormat="1" ht="83.25" hidden="1" customHeight="1" x14ac:dyDescent="0.2">
      <c r="A95" s="294">
        <f t="shared" si="33"/>
        <v>73</v>
      </c>
      <c r="B95" s="257" t="s">
        <v>341</v>
      </c>
      <c r="C95" s="257" t="s">
        <v>124</v>
      </c>
      <c r="D95" s="254" t="s">
        <v>91</v>
      </c>
      <c r="E95" s="254">
        <v>1442</v>
      </c>
      <c r="F95" s="254">
        <v>1</v>
      </c>
      <c r="G95" s="254">
        <f t="shared" si="29"/>
        <v>1442</v>
      </c>
      <c r="H95" s="254"/>
      <c r="I95" s="299">
        <v>7.1</v>
      </c>
      <c r="J95" s="254">
        <v>1.1140000000000001</v>
      </c>
      <c r="K95" s="299">
        <f t="shared" si="30"/>
        <v>7.91</v>
      </c>
      <c r="L95" s="301">
        <f t="shared" si="28"/>
        <v>11406.22</v>
      </c>
      <c r="M95" s="154">
        <f t="shared" si="31"/>
        <v>2281.2399999999998</v>
      </c>
      <c r="N95" s="73">
        <f t="shared" si="32"/>
        <v>13687.46</v>
      </c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64"/>
      <c r="Z95" s="9"/>
      <c r="AA95" s="18"/>
      <c r="AB95" s="22"/>
      <c r="AC95" s="22"/>
      <c r="AD95" s="22"/>
    </row>
    <row r="96" spans="1:30" s="20" customFormat="1" ht="63.75" hidden="1" customHeight="1" x14ac:dyDescent="0.2">
      <c r="A96" s="322"/>
      <c r="B96" s="291"/>
      <c r="C96" s="225" t="s">
        <v>8</v>
      </c>
      <c r="D96" s="226"/>
      <c r="E96" s="226"/>
      <c r="F96" s="226"/>
      <c r="G96" s="226"/>
      <c r="H96" s="226"/>
      <c r="I96" s="299"/>
      <c r="J96" s="254"/>
      <c r="K96" s="299"/>
      <c r="L96" s="301"/>
      <c r="M96" s="154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64"/>
      <c r="Z96" s="9"/>
      <c r="AA96" s="18"/>
      <c r="AB96" s="22"/>
      <c r="AC96" s="22"/>
      <c r="AD96" s="22"/>
    </row>
    <row r="97" spans="1:30" s="20" customFormat="1" ht="12.75" hidden="1" x14ac:dyDescent="0.2">
      <c r="A97" s="322"/>
      <c r="B97" s="291"/>
      <c r="C97" s="224" t="s">
        <v>441</v>
      </c>
      <c r="D97" s="254"/>
      <c r="E97" s="254"/>
      <c r="F97" s="254"/>
      <c r="G97" s="254"/>
      <c r="H97" s="254"/>
      <c r="I97" s="299"/>
      <c r="J97" s="254"/>
      <c r="K97" s="299"/>
      <c r="L97" s="301"/>
      <c r="M97" s="154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8"/>
      <c r="Z97" s="9"/>
      <c r="AA97" s="18"/>
      <c r="AB97" s="22"/>
      <c r="AC97" s="22"/>
      <c r="AD97" s="22"/>
    </row>
    <row r="98" spans="1:30" s="20" customFormat="1" ht="76.5" hidden="1" x14ac:dyDescent="0.2">
      <c r="A98" s="294">
        <f>A95+1</f>
        <v>74</v>
      </c>
      <c r="B98" s="257" t="s">
        <v>151</v>
      </c>
      <c r="C98" s="257" t="s">
        <v>116</v>
      </c>
      <c r="D98" s="254" t="s">
        <v>118</v>
      </c>
      <c r="E98" s="254">
        <v>1.26</v>
      </c>
      <c r="F98" s="254">
        <v>2</v>
      </c>
      <c r="G98" s="254">
        <f>F98*E98</f>
        <v>2.52</v>
      </c>
      <c r="H98" s="254"/>
      <c r="I98" s="299">
        <v>44.32</v>
      </c>
      <c r="J98" s="300">
        <v>1.9442999999999999</v>
      </c>
      <c r="K98" s="299">
        <f>ROUND(I98*J98,2)</f>
        <v>86.17</v>
      </c>
      <c r="L98" s="301">
        <f t="shared" si="28"/>
        <v>217.15</v>
      </c>
      <c r="M98" s="154">
        <f>ROUND(L98*0.2,2)</f>
        <v>43.43</v>
      </c>
      <c r="N98" s="73">
        <f>ROUND(M98+L98,2)</f>
        <v>260.58</v>
      </c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64"/>
      <c r="Z98" s="9"/>
      <c r="AA98" s="18"/>
      <c r="AB98" s="22"/>
      <c r="AC98" s="22"/>
      <c r="AD98" s="22"/>
    </row>
    <row r="99" spans="1:30" s="20" customFormat="1" ht="76.5" hidden="1" x14ac:dyDescent="0.2">
      <c r="A99" s="294">
        <f>A98+1</f>
        <v>75</v>
      </c>
      <c r="B99" s="257" t="s">
        <v>191</v>
      </c>
      <c r="C99" s="257" t="s">
        <v>117</v>
      </c>
      <c r="D99" s="254" t="s">
        <v>432</v>
      </c>
      <c r="E99" s="254">
        <v>3.9E-2</v>
      </c>
      <c r="F99" s="254">
        <v>3</v>
      </c>
      <c r="G99" s="254">
        <f>F99*E99</f>
        <v>0.11699999999999999</v>
      </c>
      <c r="H99" s="254"/>
      <c r="I99" s="299">
        <v>4728.2</v>
      </c>
      <c r="J99" s="300">
        <v>1.9442999999999999</v>
      </c>
      <c r="K99" s="299">
        <f>ROUND(I99*J99,2)</f>
        <v>9193.0400000000009</v>
      </c>
      <c r="L99" s="301">
        <f t="shared" si="28"/>
        <v>1075.5899999999999</v>
      </c>
      <c r="M99" s="154">
        <f>ROUND(L99*0.2,2)</f>
        <v>215.12</v>
      </c>
      <c r="N99" s="73">
        <f t="shared" si="32"/>
        <v>1290.71</v>
      </c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64"/>
      <c r="Z99" s="9"/>
      <c r="AA99" s="18"/>
      <c r="AB99" s="22"/>
      <c r="AC99" s="22"/>
      <c r="AD99" s="22"/>
    </row>
    <row r="100" spans="1:30" s="20" customFormat="1" ht="51" hidden="1" x14ac:dyDescent="0.2">
      <c r="A100" s="323">
        <f>A99+1</f>
        <v>76</v>
      </c>
      <c r="B100" s="257" t="s">
        <v>492</v>
      </c>
      <c r="C100" s="257" t="s">
        <v>493</v>
      </c>
      <c r="D100" s="305" t="s">
        <v>433</v>
      </c>
      <c r="E100" s="305">
        <v>132</v>
      </c>
      <c r="F100" s="305">
        <v>1</v>
      </c>
      <c r="G100" s="254">
        <f>F100*E100</f>
        <v>132</v>
      </c>
      <c r="H100" s="254"/>
      <c r="I100" s="299">
        <v>83.24</v>
      </c>
      <c r="J100" s="300">
        <v>1.9442999999999999</v>
      </c>
      <c r="K100" s="299">
        <f>ROUND(I100*J100,2)</f>
        <v>161.84</v>
      </c>
      <c r="L100" s="301">
        <f>ROUND(K100*G100,2)</f>
        <v>21362.880000000001</v>
      </c>
      <c r="M100" s="154">
        <f>ROUND(L100*0.2,2)</f>
        <v>4272.58</v>
      </c>
      <c r="N100" s="73">
        <f t="shared" si="32"/>
        <v>25635.46</v>
      </c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64"/>
      <c r="Z100" s="9"/>
      <c r="AA100" s="18"/>
      <c r="AB100" s="22"/>
      <c r="AC100" s="22"/>
      <c r="AD100" s="22"/>
    </row>
    <row r="101" spans="1:30" s="20" customFormat="1" ht="51" hidden="1" x14ac:dyDescent="0.2">
      <c r="A101" s="323">
        <f>A100+1</f>
        <v>77</v>
      </c>
      <c r="B101" s="257" t="s">
        <v>494</v>
      </c>
      <c r="C101" s="257" t="s">
        <v>471</v>
      </c>
      <c r="D101" s="305" t="s">
        <v>433</v>
      </c>
      <c r="E101" s="305">
        <v>132</v>
      </c>
      <c r="F101" s="305">
        <v>2</v>
      </c>
      <c r="G101" s="254">
        <f>F101*E101</f>
        <v>264</v>
      </c>
      <c r="H101" s="254"/>
      <c r="I101" s="299">
        <v>2.89</v>
      </c>
      <c r="J101" s="300">
        <v>1.9442999999999999</v>
      </c>
      <c r="K101" s="299">
        <f>ROUND(I101*J101,2)</f>
        <v>5.62</v>
      </c>
      <c r="L101" s="301">
        <f>ROUND(K101*G101,2)</f>
        <v>1483.68</v>
      </c>
      <c r="M101" s="154">
        <f>ROUND(L101*0.2,2)</f>
        <v>296.74</v>
      </c>
      <c r="N101" s="73">
        <f t="shared" si="32"/>
        <v>1780.42</v>
      </c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143"/>
      <c r="Z101" s="9"/>
      <c r="AA101" s="18"/>
      <c r="AB101" s="22"/>
      <c r="AC101" s="22"/>
      <c r="AD101" s="22"/>
    </row>
    <row r="102" spans="1:30" s="20" customFormat="1" ht="12.75" hidden="1" x14ac:dyDescent="0.2">
      <c r="A102" s="323"/>
      <c r="B102" s="257"/>
      <c r="C102" s="224" t="s">
        <v>530</v>
      </c>
      <c r="D102" s="305"/>
      <c r="E102" s="305"/>
      <c r="F102" s="305"/>
      <c r="G102" s="305"/>
      <c r="H102" s="254"/>
      <c r="I102" s="299"/>
      <c r="J102" s="300"/>
      <c r="K102" s="299"/>
      <c r="L102" s="301"/>
      <c r="M102" s="154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64"/>
      <c r="Z102" s="9"/>
      <c r="AA102" s="18"/>
      <c r="AB102" s="22"/>
      <c r="AC102" s="22"/>
      <c r="AD102" s="22"/>
    </row>
    <row r="103" spans="1:30" s="20" customFormat="1" ht="76.5" hidden="1" x14ac:dyDescent="0.2">
      <c r="A103" s="323">
        <f>A101+1</f>
        <v>78</v>
      </c>
      <c r="B103" s="257" t="s">
        <v>192</v>
      </c>
      <c r="C103" s="257" t="s">
        <v>119</v>
      </c>
      <c r="D103" s="254" t="s">
        <v>432</v>
      </c>
      <c r="E103" s="305">
        <v>3.9E-2</v>
      </c>
      <c r="F103" s="305">
        <v>3</v>
      </c>
      <c r="G103" s="254">
        <f>F103*E103</f>
        <v>0.11699999999999999</v>
      </c>
      <c r="H103" s="254"/>
      <c r="I103" s="299">
        <v>7314.22</v>
      </c>
      <c r="J103" s="300">
        <v>1.9442999999999999</v>
      </c>
      <c r="K103" s="299">
        <f>ROUND(I103*J103,2)</f>
        <v>14221.04</v>
      </c>
      <c r="L103" s="301">
        <f>ROUND(K103*G103,2)</f>
        <v>1663.86</v>
      </c>
      <c r="M103" s="154">
        <f>ROUND(L103*0.2,2)</f>
        <v>332.77</v>
      </c>
      <c r="N103" s="73">
        <f t="shared" ref="N103:N118" si="34">ROUND(M103+L103,2)</f>
        <v>1996.63</v>
      </c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143"/>
      <c r="Z103" s="9"/>
      <c r="AA103" s="18"/>
      <c r="AB103" s="22"/>
      <c r="AC103" s="22"/>
      <c r="AD103" s="22"/>
    </row>
    <row r="104" spans="1:30" s="20" customFormat="1" ht="76.5" hidden="1" x14ac:dyDescent="0.2">
      <c r="A104" s="323">
        <f>A103+1</f>
        <v>79</v>
      </c>
      <c r="B104" s="257" t="s">
        <v>193</v>
      </c>
      <c r="C104" s="257" t="s">
        <v>120</v>
      </c>
      <c r="D104" s="305" t="s">
        <v>433</v>
      </c>
      <c r="E104" s="305">
        <v>132</v>
      </c>
      <c r="F104" s="305">
        <v>3</v>
      </c>
      <c r="G104" s="254">
        <f>F104*E104</f>
        <v>396</v>
      </c>
      <c r="H104" s="254"/>
      <c r="I104" s="299">
        <v>1.99</v>
      </c>
      <c r="J104" s="300">
        <v>1.9442999999999999</v>
      </c>
      <c r="K104" s="299">
        <f>ROUND(I104*J104,2)</f>
        <v>3.87</v>
      </c>
      <c r="L104" s="301">
        <f>ROUND(K104*G104,2)</f>
        <v>1532.52</v>
      </c>
      <c r="M104" s="154">
        <f>ROUND(L104*0.2,2)</f>
        <v>306.5</v>
      </c>
      <c r="N104" s="73">
        <f t="shared" si="34"/>
        <v>1839.02</v>
      </c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171"/>
      <c r="Z104" s="9"/>
      <c r="AA104" s="18"/>
      <c r="AB104" s="22"/>
      <c r="AC104" s="22"/>
      <c r="AD104" s="22"/>
    </row>
    <row r="105" spans="1:30" s="20" customFormat="1" ht="38.25" hidden="1" x14ac:dyDescent="0.2">
      <c r="A105" s="322"/>
      <c r="B105" s="291"/>
      <c r="C105" s="224" t="s">
        <v>442</v>
      </c>
      <c r="D105" s="254"/>
      <c r="E105" s="254"/>
      <c r="F105" s="254"/>
      <c r="G105" s="254"/>
      <c r="H105" s="254"/>
      <c r="I105" s="299"/>
      <c r="J105" s="300"/>
      <c r="K105" s="299"/>
      <c r="L105" s="301"/>
      <c r="M105" s="154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171"/>
      <c r="Z105" s="9"/>
      <c r="AA105" s="18"/>
      <c r="AB105" s="22"/>
      <c r="AC105" s="22"/>
      <c r="AD105" s="22"/>
    </row>
    <row r="106" spans="1:30" s="20" customFormat="1" ht="76.5" hidden="1" x14ac:dyDescent="0.2">
      <c r="A106" s="294">
        <f>A104+1</f>
        <v>80</v>
      </c>
      <c r="B106" s="304" t="s">
        <v>194</v>
      </c>
      <c r="C106" s="257" t="s">
        <v>144</v>
      </c>
      <c r="D106" s="254" t="s">
        <v>422</v>
      </c>
      <c r="E106" s="254">
        <v>3</v>
      </c>
      <c r="F106" s="254">
        <v>2</v>
      </c>
      <c r="G106" s="254">
        <f t="shared" ref="G106:G112" si="35">F106*E106</f>
        <v>6</v>
      </c>
      <c r="H106" s="254"/>
      <c r="I106" s="299">
        <v>964.56</v>
      </c>
      <c r="J106" s="300">
        <v>1.9442999999999999</v>
      </c>
      <c r="K106" s="299">
        <f t="shared" ref="K106:K111" si="36">ROUND(I106*J106,2)</f>
        <v>1875.39</v>
      </c>
      <c r="L106" s="301">
        <f t="shared" si="28"/>
        <v>11252.34</v>
      </c>
      <c r="M106" s="154">
        <f t="shared" ref="M106:M112" si="37">ROUND(L106*0.2,2)</f>
        <v>2250.4699999999998</v>
      </c>
      <c r="N106" s="73">
        <f t="shared" si="34"/>
        <v>13502.81</v>
      </c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64"/>
      <c r="Z106" s="9"/>
      <c r="AA106" s="18"/>
      <c r="AB106" s="22"/>
      <c r="AC106" s="22"/>
      <c r="AD106" s="22"/>
    </row>
    <row r="107" spans="1:30" s="20" customFormat="1" ht="63.75" hidden="1" x14ac:dyDescent="0.2">
      <c r="A107" s="294">
        <f t="shared" ref="A107:A112" si="38">A106+1</f>
        <v>81</v>
      </c>
      <c r="B107" s="310" t="s">
        <v>412</v>
      </c>
      <c r="C107" s="257" t="s">
        <v>121</v>
      </c>
      <c r="D107" s="254" t="s">
        <v>422</v>
      </c>
      <c r="E107" s="254">
        <v>2</v>
      </c>
      <c r="F107" s="254">
        <v>6</v>
      </c>
      <c r="G107" s="254">
        <f t="shared" si="35"/>
        <v>12</v>
      </c>
      <c r="H107" s="254"/>
      <c r="I107" s="299">
        <v>130.31</v>
      </c>
      <c r="J107" s="300">
        <v>9.86</v>
      </c>
      <c r="K107" s="299">
        <f t="shared" si="36"/>
        <v>1284.8599999999999</v>
      </c>
      <c r="L107" s="301">
        <f t="shared" si="28"/>
        <v>15418.32</v>
      </c>
      <c r="M107" s="154">
        <f t="shared" si="37"/>
        <v>3083.66</v>
      </c>
      <c r="N107" s="73">
        <f t="shared" si="34"/>
        <v>18501.98</v>
      </c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64"/>
      <c r="Z107" s="9"/>
      <c r="AA107" s="18"/>
      <c r="AB107" s="22"/>
      <c r="AC107" s="22"/>
      <c r="AD107" s="22"/>
    </row>
    <row r="108" spans="1:30" s="20" customFormat="1" ht="63.75" hidden="1" x14ac:dyDescent="0.2">
      <c r="A108" s="294">
        <f t="shared" si="38"/>
        <v>82</v>
      </c>
      <c r="B108" s="310" t="s">
        <v>413</v>
      </c>
      <c r="C108" s="257" t="s">
        <v>423</v>
      </c>
      <c r="D108" s="254" t="s">
        <v>422</v>
      </c>
      <c r="E108" s="254">
        <v>2</v>
      </c>
      <c r="F108" s="254">
        <v>6</v>
      </c>
      <c r="G108" s="254">
        <f t="shared" si="35"/>
        <v>12</v>
      </c>
      <c r="H108" s="254"/>
      <c r="I108" s="299">
        <v>18.62</v>
      </c>
      <c r="J108" s="300">
        <v>9.86</v>
      </c>
      <c r="K108" s="299">
        <f t="shared" si="36"/>
        <v>183.59</v>
      </c>
      <c r="L108" s="301">
        <f t="shared" si="28"/>
        <v>2203.08</v>
      </c>
      <c r="M108" s="154">
        <f t="shared" si="37"/>
        <v>440.62</v>
      </c>
      <c r="N108" s="73">
        <f t="shared" si="34"/>
        <v>2643.7</v>
      </c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64"/>
      <c r="Z108" s="9"/>
      <c r="AA108" s="18"/>
      <c r="AB108" s="22"/>
      <c r="AC108" s="22"/>
      <c r="AD108" s="22"/>
    </row>
    <row r="109" spans="1:30" s="20" customFormat="1" ht="63.75" hidden="1" x14ac:dyDescent="0.2">
      <c r="A109" s="294">
        <f t="shared" si="38"/>
        <v>83</v>
      </c>
      <c r="B109" s="310" t="s">
        <v>414</v>
      </c>
      <c r="C109" s="257" t="s">
        <v>424</v>
      </c>
      <c r="D109" s="254" t="s">
        <v>422</v>
      </c>
      <c r="E109" s="254">
        <v>1</v>
      </c>
      <c r="F109" s="254">
        <v>2</v>
      </c>
      <c r="G109" s="254">
        <f t="shared" si="35"/>
        <v>2</v>
      </c>
      <c r="H109" s="254"/>
      <c r="I109" s="299">
        <v>161.86000000000001</v>
      </c>
      <c r="J109" s="300">
        <v>9.86</v>
      </c>
      <c r="K109" s="299">
        <f t="shared" si="36"/>
        <v>1595.94</v>
      </c>
      <c r="L109" s="301">
        <f t="shared" si="28"/>
        <v>3191.88</v>
      </c>
      <c r="M109" s="154">
        <f t="shared" si="37"/>
        <v>638.38</v>
      </c>
      <c r="N109" s="73">
        <f t="shared" si="34"/>
        <v>3830.26</v>
      </c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64"/>
      <c r="Z109" s="9"/>
      <c r="AA109" s="18"/>
      <c r="AB109" s="22"/>
      <c r="AC109" s="22"/>
      <c r="AD109" s="22"/>
    </row>
    <row r="110" spans="1:30" s="20" customFormat="1" ht="63.75" hidden="1" x14ac:dyDescent="0.2">
      <c r="A110" s="294">
        <f t="shared" si="38"/>
        <v>84</v>
      </c>
      <c r="B110" s="310" t="s">
        <v>415</v>
      </c>
      <c r="C110" s="257" t="s">
        <v>122</v>
      </c>
      <c r="D110" s="254" t="s">
        <v>422</v>
      </c>
      <c r="E110" s="254">
        <v>1</v>
      </c>
      <c r="F110" s="254">
        <v>2</v>
      </c>
      <c r="G110" s="254">
        <f t="shared" si="35"/>
        <v>2</v>
      </c>
      <c r="H110" s="254"/>
      <c r="I110" s="299">
        <v>501.73</v>
      </c>
      <c r="J110" s="300">
        <v>9.86</v>
      </c>
      <c r="K110" s="299">
        <f t="shared" si="36"/>
        <v>4947.0600000000004</v>
      </c>
      <c r="L110" s="301">
        <f t="shared" si="28"/>
        <v>9894.1200000000008</v>
      </c>
      <c r="M110" s="154">
        <f t="shared" si="37"/>
        <v>1978.82</v>
      </c>
      <c r="N110" s="73">
        <f t="shared" si="34"/>
        <v>11872.94</v>
      </c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64"/>
      <c r="Z110" s="9"/>
      <c r="AA110" s="18"/>
      <c r="AB110" s="22"/>
      <c r="AC110" s="22"/>
      <c r="AD110" s="22"/>
    </row>
    <row r="111" spans="1:30" s="20" customFormat="1" ht="63.75" hidden="1" x14ac:dyDescent="0.2">
      <c r="A111" s="294">
        <f t="shared" si="38"/>
        <v>85</v>
      </c>
      <c r="B111" s="310" t="s">
        <v>416</v>
      </c>
      <c r="C111" s="257" t="s">
        <v>123</v>
      </c>
      <c r="D111" s="254" t="s">
        <v>422</v>
      </c>
      <c r="E111" s="254">
        <v>2</v>
      </c>
      <c r="F111" s="254">
        <v>6</v>
      </c>
      <c r="G111" s="254">
        <f t="shared" si="35"/>
        <v>12</v>
      </c>
      <c r="H111" s="254"/>
      <c r="I111" s="299">
        <v>135.63999999999999</v>
      </c>
      <c r="J111" s="300">
        <v>9.86</v>
      </c>
      <c r="K111" s="299">
        <f t="shared" si="36"/>
        <v>1337.41</v>
      </c>
      <c r="L111" s="301">
        <f t="shared" si="28"/>
        <v>16048.92</v>
      </c>
      <c r="M111" s="154">
        <f t="shared" si="37"/>
        <v>3209.78</v>
      </c>
      <c r="N111" s="73">
        <f t="shared" si="34"/>
        <v>19258.7</v>
      </c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64"/>
      <c r="Z111" s="9"/>
      <c r="AA111" s="18"/>
      <c r="AB111" s="22"/>
      <c r="AC111" s="22"/>
      <c r="AD111" s="22"/>
    </row>
    <row r="112" spans="1:30" s="20" customFormat="1" ht="88.5" hidden="1" customHeight="1" x14ac:dyDescent="0.2">
      <c r="A112" s="294">
        <f t="shared" si="38"/>
        <v>86</v>
      </c>
      <c r="B112" s="304" t="s">
        <v>341</v>
      </c>
      <c r="C112" s="257" t="s">
        <v>124</v>
      </c>
      <c r="D112" s="254" t="s">
        <v>91</v>
      </c>
      <c r="E112" s="254">
        <v>1442</v>
      </c>
      <c r="F112" s="254">
        <v>1</v>
      </c>
      <c r="G112" s="254">
        <f t="shared" si="35"/>
        <v>1442</v>
      </c>
      <c r="H112" s="254"/>
      <c r="I112" s="299">
        <v>7.1</v>
      </c>
      <c r="J112" s="254">
        <v>1.1140000000000001</v>
      </c>
      <c r="K112" s="299">
        <f>ROUND(I112*J112,2)</f>
        <v>7.91</v>
      </c>
      <c r="L112" s="301">
        <f t="shared" si="28"/>
        <v>11406.22</v>
      </c>
      <c r="M112" s="154">
        <f t="shared" si="37"/>
        <v>2281.2399999999998</v>
      </c>
      <c r="N112" s="73">
        <f t="shared" si="34"/>
        <v>13687.46</v>
      </c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64"/>
      <c r="Z112" s="9"/>
      <c r="AA112" s="18"/>
      <c r="AB112" s="22"/>
      <c r="AC112" s="22"/>
      <c r="AD112" s="22"/>
    </row>
    <row r="113" spans="1:30" s="20" customFormat="1" ht="63.75" hidden="1" x14ac:dyDescent="0.2">
      <c r="A113" s="294"/>
      <c r="B113" s="304"/>
      <c r="C113" s="225" t="s">
        <v>9</v>
      </c>
      <c r="D113" s="226"/>
      <c r="E113" s="226"/>
      <c r="F113" s="226"/>
      <c r="G113" s="226"/>
      <c r="H113" s="254"/>
      <c r="I113" s="299"/>
      <c r="J113" s="254"/>
      <c r="K113" s="299"/>
      <c r="L113" s="301"/>
      <c r="M113" s="154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64"/>
      <c r="Z113" s="9"/>
      <c r="AA113" s="18"/>
      <c r="AB113" s="22"/>
      <c r="AC113" s="22"/>
      <c r="AD113" s="22"/>
    </row>
    <row r="114" spans="1:30" s="20" customFormat="1" ht="12.75" hidden="1" x14ac:dyDescent="0.2">
      <c r="A114" s="294"/>
      <c r="B114" s="304"/>
      <c r="C114" s="224" t="s">
        <v>441</v>
      </c>
      <c r="D114" s="254"/>
      <c r="E114" s="254"/>
      <c r="F114" s="254"/>
      <c r="G114" s="254"/>
      <c r="H114" s="254"/>
      <c r="I114" s="299"/>
      <c r="J114" s="254"/>
      <c r="K114" s="299"/>
      <c r="L114" s="301"/>
      <c r="M114" s="154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8"/>
      <c r="Z114" s="9"/>
      <c r="AA114" s="18"/>
      <c r="AB114" s="22"/>
      <c r="AC114" s="22"/>
      <c r="AD114" s="22"/>
    </row>
    <row r="115" spans="1:30" s="20" customFormat="1" ht="76.5" hidden="1" x14ac:dyDescent="0.2">
      <c r="A115" s="294">
        <f>A112+1</f>
        <v>87</v>
      </c>
      <c r="B115" s="257" t="s">
        <v>151</v>
      </c>
      <c r="C115" s="257" t="s">
        <v>116</v>
      </c>
      <c r="D115" s="254" t="s">
        <v>118</v>
      </c>
      <c r="E115" s="254">
        <v>1.36</v>
      </c>
      <c r="F115" s="254">
        <v>2</v>
      </c>
      <c r="G115" s="254">
        <f>F115*E115</f>
        <v>2.72</v>
      </c>
      <c r="H115" s="254"/>
      <c r="I115" s="299">
        <v>44.32</v>
      </c>
      <c r="J115" s="300">
        <v>1.9442999999999999</v>
      </c>
      <c r="K115" s="299">
        <f t="shared" ref="K115:K129" si="39">ROUND(I115*J115,2)</f>
        <v>86.17</v>
      </c>
      <c r="L115" s="301">
        <f t="shared" ref="L115:L129" si="40">ROUND(K115*G115,2)</f>
        <v>234.38</v>
      </c>
      <c r="M115" s="154">
        <f>ROUND(L115*0.2,2)</f>
        <v>46.88</v>
      </c>
      <c r="N115" s="73">
        <f t="shared" si="34"/>
        <v>281.26</v>
      </c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64"/>
      <c r="Z115" s="9"/>
      <c r="AA115" s="18"/>
      <c r="AB115" s="22"/>
      <c r="AC115" s="22"/>
      <c r="AD115" s="22"/>
    </row>
    <row r="116" spans="1:30" s="20" customFormat="1" ht="76.5" hidden="1" x14ac:dyDescent="0.2">
      <c r="A116" s="294">
        <f>A115+1</f>
        <v>88</v>
      </c>
      <c r="B116" s="257" t="s">
        <v>191</v>
      </c>
      <c r="C116" s="257" t="s">
        <v>117</v>
      </c>
      <c r="D116" s="254" t="s">
        <v>432</v>
      </c>
      <c r="E116" s="254">
        <v>7.1999999999999995E-2</v>
      </c>
      <c r="F116" s="254">
        <v>3</v>
      </c>
      <c r="G116" s="254">
        <f>F116*E116</f>
        <v>0.21599999999999997</v>
      </c>
      <c r="H116" s="254"/>
      <c r="I116" s="299">
        <v>4728.2</v>
      </c>
      <c r="J116" s="300">
        <v>1.9442999999999999</v>
      </c>
      <c r="K116" s="299">
        <f t="shared" si="39"/>
        <v>9193.0400000000009</v>
      </c>
      <c r="L116" s="301">
        <f t="shared" si="40"/>
        <v>1985.7</v>
      </c>
      <c r="M116" s="154">
        <f>ROUND(L116*0.2,2)</f>
        <v>397.14</v>
      </c>
      <c r="N116" s="73">
        <f t="shared" si="34"/>
        <v>2382.84</v>
      </c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64"/>
      <c r="Z116" s="9"/>
      <c r="AA116" s="18"/>
      <c r="AB116" s="22"/>
      <c r="AC116" s="22"/>
      <c r="AD116" s="22"/>
    </row>
    <row r="117" spans="1:30" s="20" customFormat="1" ht="51" hidden="1" x14ac:dyDescent="0.2">
      <c r="A117" s="294">
        <f>A116+1</f>
        <v>89</v>
      </c>
      <c r="B117" s="257" t="s">
        <v>492</v>
      </c>
      <c r="C117" s="257" t="s">
        <v>493</v>
      </c>
      <c r="D117" s="305" t="s">
        <v>433</v>
      </c>
      <c r="E117" s="305">
        <v>132</v>
      </c>
      <c r="F117" s="305">
        <v>1</v>
      </c>
      <c r="G117" s="254">
        <f>F117*E117</f>
        <v>132</v>
      </c>
      <c r="H117" s="254"/>
      <c r="I117" s="299">
        <v>83.24</v>
      </c>
      <c r="J117" s="300">
        <v>1.9442999999999999</v>
      </c>
      <c r="K117" s="299">
        <f>ROUND(I117*J117,2)</f>
        <v>161.84</v>
      </c>
      <c r="L117" s="301">
        <f>ROUND(K117*G117,2)</f>
        <v>21362.880000000001</v>
      </c>
      <c r="M117" s="154">
        <f>ROUND(L117*0.2,2)</f>
        <v>4272.58</v>
      </c>
      <c r="N117" s="73">
        <f t="shared" si="34"/>
        <v>25635.46</v>
      </c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64"/>
      <c r="Z117" s="9"/>
      <c r="AA117" s="18"/>
      <c r="AB117" s="22"/>
      <c r="AC117" s="22"/>
      <c r="AD117" s="22"/>
    </row>
    <row r="118" spans="1:30" s="20" customFormat="1" ht="51" hidden="1" x14ac:dyDescent="0.2">
      <c r="A118" s="294">
        <f>A117+1</f>
        <v>90</v>
      </c>
      <c r="B118" s="257" t="s">
        <v>494</v>
      </c>
      <c r="C118" s="324" t="s">
        <v>471</v>
      </c>
      <c r="D118" s="305" t="s">
        <v>433</v>
      </c>
      <c r="E118" s="305">
        <v>132</v>
      </c>
      <c r="F118" s="305">
        <v>2</v>
      </c>
      <c r="G118" s="254">
        <f>F118*E118</f>
        <v>264</v>
      </c>
      <c r="H118" s="254"/>
      <c r="I118" s="299">
        <v>2.89</v>
      </c>
      <c r="J118" s="300">
        <v>1.9442999999999999</v>
      </c>
      <c r="K118" s="299">
        <f>ROUND(I118*J118,2)</f>
        <v>5.62</v>
      </c>
      <c r="L118" s="301">
        <f>ROUND(K118*G118,2)</f>
        <v>1483.68</v>
      </c>
      <c r="M118" s="154">
        <f>ROUND(L118*0.2,2)</f>
        <v>296.74</v>
      </c>
      <c r="N118" s="73">
        <f t="shared" si="34"/>
        <v>1780.42</v>
      </c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9"/>
      <c r="AA118" s="18"/>
      <c r="AB118" s="22"/>
      <c r="AC118" s="22"/>
      <c r="AD118" s="22"/>
    </row>
    <row r="119" spans="1:30" s="20" customFormat="1" ht="12.75" hidden="1" x14ac:dyDescent="0.2">
      <c r="A119" s="294"/>
      <c r="B119" s="304"/>
      <c r="C119" s="224" t="s">
        <v>530</v>
      </c>
      <c r="D119" s="305"/>
      <c r="E119" s="305"/>
      <c r="F119" s="305"/>
      <c r="G119" s="305"/>
      <c r="H119" s="254"/>
      <c r="I119" s="299"/>
      <c r="J119" s="300"/>
      <c r="K119" s="299"/>
      <c r="L119" s="301"/>
      <c r="M119" s="154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64"/>
      <c r="Z119" s="9"/>
      <c r="AA119" s="18"/>
      <c r="AB119" s="22"/>
      <c r="AC119" s="22"/>
      <c r="AD119" s="22"/>
    </row>
    <row r="120" spans="1:30" s="20" customFormat="1" ht="76.5" hidden="1" x14ac:dyDescent="0.2">
      <c r="A120" s="294">
        <f>A118+1</f>
        <v>91</v>
      </c>
      <c r="B120" s="304" t="s">
        <v>192</v>
      </c>
      <c r="C120" s="257" t="s">
        <v>119</v>
      </c>
      <c r="D120" s="305" t="s">
        <v>432</v>
      </c>
      <c r="E120" s="305">
        <v>7.1999999999999995E-2</v>
      </c>
      <c r="F120" s="305">
        <v>3</v>
      </c>
      <c r="G120" s="254">
        <f>F120*E120</f>
        <v>0.21599999999999997</v>
      </c>
      <c r="H120" s="254"/>
      <c r="I120" s="299">
        <v>7314.22</v>
      </c>
      <c r="J120" s="300">
        <v>1.9442999999999999</v>
      </c>
      <c r="K120" s="299">
        <f>ROUND(I120*J120,2)</f>
        <v>14221.04</v>
      </c>
      <c r="L120" s="301">
        <f>ROUND(K120*G120,2)</f>
        <v>3071.74</v>
      </c>
      <c r="M120" s="154">
        <f t="shared" ref="M120:M126" si="41">ROUND(L120*0.2,2)</f>
        <v>614.35</v>
      </c>
      <c r="N120" s="73">
        <f t="shared" ref="N120:N127" si="42">ROUND(M120+L120,2)</f>
        <v>3686.09</v>
      </c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143"/>
      <c r="Z120" s="9"/>
      <c r="AA120" s="18"/>
      <c r="AB120" s="22"/>
      <c r="AC120" s="22"/>
      <c r="AD120" s="22"/>
    </row>
    <row r="121" spans="1:30" s="20" customFormat="1" ht="76.5" hidden="1" x14ac:dyDescent="0.2">
      <c r="A121" s="294">
        <f>A120+1</f>
        <v>92</v>
      </c>
      <c r="B121" s="257" t="s">
        <v>193</v>
      </c>
      <c r="C121" s="257" t="s">
        <v>120</v>
      </c>
      <c r="D121" s="305" t="s">
        <v>433</v>
      </c>
      <c r="E121" s="305">
        <v>132</v>
      </c>
      <c r="F121" s="305">
        <v>3</v>
      </c>
      <c r="G121" s="254">
        <f>F121*E121</f>
        <v>396</v>
      </c>
      <c r="H121" s="254"/>
      <c r="I121" s="299">
        <v>1.99</v>
      </c>
      <c r="J121" s="300">
        <v>1.9442999999999999</v>
      </c>
      <c r="K121" s="299">
        <f>ROUND(I121*J121,2)</f>
        <v>3.87</v>
      </c>
      <c r="L121" s="301">
        <f>ROUND(K121*G121,2)</f>
        <v>1532.52</v>
      </c>
      <c r="M121" s="154">
        <f t="shared" si="41"/>
        <v>306.5</v>
      </c>
      <c r="N121" s="73">
        <f t="shared" si="42"/>
        <v>1839.02</v>
      </c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171"/>
      <c r="Z121" s="9"/>
      <c r="AA121" s="18"/>
      <c r="AB121" s="22"/>
      <c r="AC121" s="22"/>
      <c r="AD121" s="22"/>
    </row>
    <row r="122" spans="1:30" s="20" customFormat="1" ht="38.25" hidden="1" x14ac:dyDescent="0.2">
      <c r="A122" s="294"/>
      <c r="B122" s="291"/>
      <c r="C122" s="224" t="s">
        <v>443</v>
      </c>
      <c r="D122" s="254"/>
      <c r="E122" s="254"/>
      <c r="F122" s="254"/>
      <c r="G122" s="254"/>
      <c r="H122" s="254"/>
      <c r="I122" s="299"/>
      <c r="J122" s="300"/>
      <c r="K122" s="299"/>
      <c r="L122" s="301"/>
      <c r="M122" s="154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171"/>
      <c r="Z122" s="9"/>
      <c r="AA122" s="18"/>
      <c r="AB122" s="22"/>
      <c r="AC122" s="22"/>
      <c r="AD122" s="22"/>
    </row>
    <row r="123" spans="1:30" s="20" customFormat="1" ht="76.5" hidden="1" x14ac:dyDescent="0.2">
      <c r="A123" s="294">
        <f>A121+1</f>
        <v>93</v>
      </c>
      <c r="B123" s="291" t="s">
        <v>194</v>
      </c>
      <c r="C123" s="257" t="s">
        <v>144</v>
      </c>
      <c r="D123" s="254" t="s">
        <v>422</v>
      </c>
      <c r="E123" s="254">
        <v>3</v>
      </c>
      <c r="F123" s="254">
        <v>2</v>
      </c>
      <c r="G123" s="254">
        <f t="shared" ref="G123:G129" si="43">F123*E123</f>
        <v>6</v>
      </c>
      <c r="H123" s="254"/>
      <c r="I123" s="299">
        <v>964.56</v>
      </c>
      <c r="J123" s="300">
        <v>1.9442999999999999</v>
      </c>
      <c r="K123" s="299">
        <f t="shared" si="39"/>
        <v>1875.39</v>
      </c>
      <c r="L123" s="301">
        <f t="shared" si="40"/>
        <v>11252.34</v>
      </c>
      <c r="M123" s="154">
        <f t="shared" si="41"/>
        <v>2250.4699999999998</v>
      </c>
      <c r="N123" s="73">
        <f t="shared" si="42"/>
        <v>13502.81</v>
      </c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64"/>
      <c r="Z123" s="9"/>
      <c r="AA123" s="18"/>
      <c r="AB123" s="22"/>
      <c r="AC123" s="22"/>
      <c r="AD123" s="22"/>
    </row>
    <row r="124" spans="1:30" s="20" customFormat="1" ht="63.75" hidden="1" x14ac:dyDescent="0.2">
      <c r="A124" s="294">
        <f t="shared" ref="A124:A129" si="44">A123+1</f>
        <v>94</v>
      </c>
      <c r="B124" s="310" t="s">
        <v>412</v>
      </c>
      <c r="C124" s="257" t="s">
        <v>121</v>
      </c>
      <c r="D124" s="254" t="s">
        <v>422</v>
      </c>
      <c r="E124" s="254">
        <v>2</v>
      </c>
      <c r="F124" s="254">
        <v>6</v>
      </c>
      <c r="G124" s="254">
        <f t="shared" si="43"/>
        <v>12</v>
      </c>
      <c r="H124" s="254"/>
      <c r="I124" s="299">
        <v>130.31</v>
      </c>
      <c r="J124" s="300">
        <v>9.86</v>
      </c>
      <c r="K124" s="299">
        <f t="shared" si="39"/>
        <v>1284.8599999999999</v>
      </c>
      <c r="L124" s="301">
        <f t="shared" si="40"/>
        <v>15418.32</v>
      </c>
      <c r="M124" s="154">
        <f t="shared" si="41"/>
        <v>3083.66</v>
      </c>
      <c r="N124" s="73">
        <f t="shared" si="42"/>
        <v>18501.98</v>
      </c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64"/>
      <c r="Z124" s="9"/>
      <c r="AA124" s="18"/>
      <c r="AB124" s="22"/>
      <c r="AC124" s="22"/>
      <c r="AD124" s="22"/>
    </row>
    <row r="125" spans="1:30" s="20" customFormat="1" ht="63.75" hidden="1" x14ac:dyDescent="0.2">
      <c r="A125" s="294">
        <f t="shared" si="44"/>
        <v>95</v>
      </c>
      <c r="B125" s="310" t="s">
        <v>413</v>
      </c>
      <c r="C125" s="257" t="s">
        <v>423</v>
      </c>
      <c r="D125" s="254" t="s">
        <v>422</v>
      </c>
      <c r="E125" s="254">
        <v>2</v>
      </c>
      <c r="F125" s="254">
        <v>6</v>
      </c>
      <c r="G125" s="254">
        <f t="shared" si="43"/>
        <v>12</v>
      </c>
      <c r="H125" s="254"/>
      <c r="I125" s="299">
        <v>18.62</v>
      </c>
      <c r="J125" s="300">
        <v>9.86</v>
      </c>
      <c r="K125" s="299">
        <f t="shared" si="39"/>
        <v>183.59</v>
      </c>
      <c r="L125" s="301">
        <f t="shared" si="40"/>
        <v>2203.08</v>
      </c>
      <c r="M125" s="154">
        <f t="shared" si="41"/>
        <v>440.62</v>
      </c>
      <c r="N125" s="73">
        <f t="shared" si="42"/>
        <v>2643.7</v>
      </c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64"/>
      <c r="Z125" s="9"/>
      <c r="AA125" s="18"/>
      <c r="AB125" s="22"/>
      <c r="AC125" s="22"/>
      <c r="AD125" s="22"/>
    </row>
    <row r="126" spans="1:30" s="20" customFormat="1" ht="63.75" hidden="1" x14ac:dyDescent="0.2">
      <c r="A126" s="294">
        <f t="shared" si="44"/>
        <v>96</v>
      </c>
      <c r="B126" s="310" t="s">
        <v>414</v>
      </c>
      <c r="C126" s="257" t="s">
        <v>424</v>
      </c>
      <c r="D126" s="254" t="s">
        <v>422</v>
      </c>
      <c r="E126" s="254">
        <v>1</v>
      </c>
      <c r="F126" s="254">
        <v>2</v>
      </c>
      <c r="G126" s="254">
        <f t="shared" si="43"/>
        <v>2</v>
      </c>
      <c r="H126" s="254"/>
      <c r="I126" s="299">
        <v>161.86000000000001</v>
      </c>
      <c r="J126" s="300">
        <v>9.86</v>
      </c>
      <c r="K126" s="299">
        <f t="shared" si="39"/>
        <v>1595.94</v>
      </c>
      <c r="L126" s="301">
        <f t="shared" si="40"/>
        <v>3191.88</v>
      </c>
      <c r="M126" s="154">
        <f t="shared" si="41"/>
        <v>638.38</v>
      </c>
      <c r="N126" s="73">
        <f t="shared" si="42"/>
        <v>3830.26</v>
      </c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64"/>
      <c r="Z126" s="9"/>
      <c r="AA126" s="18"/>
      <c r="AB126" s="22"/>
      <c r="AC126" s="22"/>
      <c r="AD126" s="22"/>
    </row>
    <row r="127" spans="1:30" s="20" customFormat="1" ht="63.75" hidden="1" x14ac:dyDescent="0.2">
      <c r="A127" s="294">
        <f t="shared" si="44"/>
        <v>97</v>
      </c>
      <c r="B127" s="310" t="s">
        <v>415</v>
      </c>
      <c r="C127" s="257" t="s">
        <v>122</v>
      </c>
      <c r="D127" s="254" t="s">
        <v>422</v>
      </c>
      <c r="E127" s="254">
        <v>1</v>
      </c>
      <c r="F127" s="254">
        <v>2</v>
      </c>
      <c r="G127" s="254">
        <f t="shared" si="43"/>
        <v>2</v>
      </c>
      <c r="H127" s="254"/>
      <c r="I127" s="299">
        <v>501.73</v>
      </c>
      <c r="J127" s="300">
        <v>9.86</v>
      </c>
      <c r="K127" s="299">
        <f t="shared" si="39"/>
        <v>4947.0600000000004</v>
      </c>
      <c r="L127" s="301">
        <f t="shared" si="40"/>
        <v>9894.1200000000008</v>
      </c>
      <c r="M127" s="154">
        <f t="shared" ref="M127:M210" si="45">ROUND(L127*0.2,2)</f>
        <v>1978.82</v>
      </c>
      <c r="N127" s="73">
        <f t="shared" si="42"/>
        <v>11872.94</v>
      </c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64"/>
      <c r="Z127" s="9"/>
      <c r="AA127" s="18"/>
      <c r="AB127" s="22"/>
      <c r="AC127" s="22"/>
      <c r="AD127" s="22"/>
    </row>
    <row r="128" spans="1:30" s="20" customFormat="1" ht="63.75" hidden="1" x14ac:dyDescent="0.2">
      <c r="A128" s="294">
        <f t="shared" si="44"/>
        <v>98</v>
      </c>
      <c r="B128" s="310" t="s">
        <v>416</v>
      </c>
      <c r="C128" s="257" t="s">
        <v>123</v>
      </c>
      <c r="D128" s="254" t="s">
        <v>422</v>
      </c>
      <c r="E128" s="254">
        <v>2</v>
      </c>
      <c r="F128" s="254">
        <v>6</v>
      </c>
      <c r="G128" s="254">
        <f t="shared" si="43"/>
        <v>12</v>
      </c>
      <c r="H128" s="254"/>
      <c r="I128" s="299">
        <v>135.63999999999999</v>
      </c>
      <c r="J128" s="300">
        <v>9.86</v>
      </c>
      <c r="K128" s="299">
        <f t="shared" si="39"/>
        <v>1337.41</v>
      </c>
      <c r="L128" s="301">
        <f t="shared" si="40"/>
        <v>16048.92</v>
      </c>
      <c r="M128" s="154">
        <f t="shared" si="45"/>
        <v>3209.78</v>
      </c>
      <c r="N128" s="73">
        <f t="shared" ref="N128:N197" si="46">ROUND(M128+L128,2)</f>
        <v>19258.7</v>
      </c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9"/>
      <c r="AA128" s="18"/>
      <c r="AB128" s="22"/>
      <c r="AC128" s="22"/>
      <c r="AD128" s="22"/>
    </row>
    <row r="129" spans="1:30" s="20" customFormat="1" ht="255" hidden="1" x14ac:dyDescent="0.2">
      <c r="A129" s="294">
        <f t="shared" si="44"/>
        <v>99</v>
      </c>
      <c r="B129" s="291" t="s">
        <v>341</v>
      </c>
      <c r="C129" s="257" t="s">
        <v>124</v>
      </c>
      <c r="D129" s="254" t="s">
        <v>429</v>
      </c>
      <c r="E129" s="254">
        <v>1442</v>
      </c>
      <c r="F129" s="254">
        <v>1</v>
      </c>
      <c r="G129" s="254">
        <f t="shared" si="43"/>
        <v>1442</v>
      </c>
      <c r="H129" s="254"/>
      <c r="I129" s="299">
        <v>7.1</v>
      </c>
      <c r="J129" s="254">
        <v>1.1140000000000001</v>
      </c>
      <c r="K129" s="299">
        <f t="shared" si="39"/>
        <v>7.91</v>
      </c>
      <c r="L129" s="301">
        <f t="shared" si="40"/>
        <v>11406.22</v>
      </c>
      <c r="M129" s="154">
        <f t="shared" si="45"/>
        <v>2281.2399999999998</v>
      </c>
      <c r="N129" s="73">
        <f t="shared" si="46"/>
        <v>13687.46</v>
      </c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64"/>
      <c r="Z129" s="9"/>
      <c r="AA129" s="18"/>
      <c r="AB129" s="22"/>
      <c r="AC129" s="22"/>
      <c r="AD129" s="22"/>
    </row>
    <row r="130" spans="1:30" s="20" customFormat="1" ht="63.75" hidden="1" x14ac:dyDescent="0.2">
      <c r="A130" s="294"/>
      <c r="B130" s="291"/>
      <c r="C130" s="225" t="s">
        <v>10</v>
      </c>
      <c r="D130" s="226"/>
      <c r="E130" s="226"/>
      <c r="F130" s="226"/>
      <c r="G130" s="226"/>
      <c r="H130" s="254"/>
      <c r="I130" s="299"/>
      <c r="J130" s="254"/>
      <c r="K130" s="299"/>
      <c r="L130" s="301"/>
      <c r="M130" s="154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64"/>
      <c r="Z130" s="9"/>
      <c r="AA130" s="18"/>
      <c r="AB130" s="22"/>
      <c r="AC130" s="22"/>
      <c r="AD130" s="22"/>
    </row>
    <row r="131" spans="1:30" s="20" customFormat="1" ht="12.75" hidden="1" x14ac:dyDescent="0.2">
      <c r="A131" s="294"/>
      <c r="B131" s="291"/>
      <c r="C131" s="224" t="s">
        <v>441</v>
      </c>
      <c r="D131" s="254"/>
      <c r="E131" s="254"/>
      <c r="F131" s="254"/>
      <c r="G131" s="254"/>
      <c r="H131" s="254"/>
      <c r="I131" s="299"/>
      <c r="J131" s="254"/>
      <c r="K131" s="299"/>
      <c r="L131" s="301"/>
      <c r="M131" s="154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8"/>
      <c r="Z131" s="9"/>
      <c r="AA131" s="18"/>
      <c r="AB131" s="22"/>
      <c r="AC131" s="22"/>
      <c r="AD131" s="22"/>
    </row>
    <row r="132" spans="1:30" s="20" customFormat="1" ht="76.5" hidden="1" x14ac:dyDescent="0.2">
      <c r="A132" s="294">
        <f>A129+1</f>
        <v>100</v>
      </c>
      <c r="B132" s="291" t="s">
        <v>151</v>
      </c>
      <c r="C132" s="257" t="s">
        <v>116</v>
      </c>
      <c r="D132" s="254" t="s">
        <v>118</v>
      </c>
      <c r="E132" s="254">
        <v>1.57</v>
      </c>
      <c r="F132" s="254">
        <v>2</v>
      </c>
      <c r="G132" s="254">
        <f>F132*E132</f>
        <v>3.14</v>
      </c>
      <c r="H132" s="254"/>
      <c r="I132" s="299">
        <v>44.32</v>
      </c>
      <c r="J132" s="300">
        <v>1.9442999999999999</v>
      </c>
      <c r="K132" s="299">
        <f>ROUND(I132*J132,2)</f>
        <v>86.17</v>
      </c>
      <c r="L132" s="301">
        <f t="shared" ref="L132:L146" si="47">ROUND(K132*G132,2)</f>
        <v>270.57</v>
      </c>
      <c r="M132" s="154">
        <f t="shared" si="45"/>
        <v>54.11</v>
      </c>
      <c r="N132" s="73">
        <f t="shared" si="46"/>
        <v>324.68</v>
      </c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64"/>
      <c r="Z132" s="9"/>
      <c r="AA132" s="18"/>
      <c r="AB132" s="22"/>
      <c r="AC132" s="22"/>
      <c r="AD132" s="22"/>
    </row>
    <row r="133" spans="1:30" s="20" customFormat="1" ht="76.5" hidden="1" x14ac:dyDescent="0.2">
      <c r="A133" s="294">
        <f>A132+1</f>
        <v>101</v>
      </c>
      <c r="B133" s="291" t="s">
        <v>191</v>
      </c>
      <c r="C133" s="257" t="s">
        <v>117</v>
      </c>
      <c r="D133" s="254" t="s">
        <v>432</v>
      </c>
      <c r="E133" s="254">
        <v>6.0000000000000001E-3</v>
      </c>
      <c r="F133" s="254">
        <v>3</v>
      </c>
      <c r="G133" s="254">
        <f>F133*E133</f>
        <v>1.8000000000000002E-2</v>
      </c>
      <c r="H133" s="254"/>
      <c r="I133" s="299">
        <v>4728.2</v>
      </c>
      <c r="J133" s="300">
        <v>1.9442999999999999</v>
      </c>
      <c r="K133" s="299">
        <f>ROUND(I133*J133,2)</f>
        <v>9193.0400000000009</v>
      </c>
      <c r="L133" s="301">
        <f t="shared" si="47"/>
        <v>165.47</v>
      </c>
      <c r="M133" s="154">
        <f t="shared" si="45"/>
        <v>33.090000000000003</v>
      </c>
      <c r="N133" s="73">
        <f t="shared" si="46"/>
        <v>198.56</v>
      </c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64"/>
      <c r="Z133" s="9"/>
      <c r="AA133" s="18"/>
      <c r="AB133" s="22"/>
      <c r="AC133" s="22"/>
      <c r="AD133" s="22"/>
    </row>
    <row r="134" spans="1:30" s="20" customFormat="1" ht="51" hidden="1" x14ac:dyDescent="0.2">
      <c r="A134" s="294">
        <f>A133+1</f>
        <v>102</v>
      </c>
      <c r="B134" s="257" t="s">
        <v>492</v>
      </c>
      <c r="C134" s="257" t="s">
        <v>493</v>
      </c>
      <c r="D134" s="305" t="s">
        <v>433</v>
      </c>
      <c r="E134" s="305">
        <v>157</v>
      </c>
      <c r="F134" s="305">
        <v>1</v>
      </c>
      <c r="G134" s="254">
        <f>F134*E134</f>
        <v>157</v>
      </c>
      <c r="H134" s="254"/>
      <c r="I134" s="299">
        <v>83.24</v>
      </c>
      <c r="J134" s="300">
        <v>1.9442999999999999</v>
      </c>
      <c r="K134" s="299">
        <f>ROUND(I134*J134,2)</f>
        <v>161.84</v>
      </c>
      <c r="L134" s="301">
        <f>ROUND(K134*G134,2)</f>
        <v>25408.880000000001</v>
      </c>
      <c r="M134" s="154">
        <f>ROUND(L134*0.2,2)</f>
        <v>5081.78</v>
      </c>
      <c r="N134" s="73">
        <f>ROUND(M134+L134,2)</f>
        <v>30490.66</v>
      </c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64"/>
      <c r="Z134" s="9"/>
      <c r="AA134" s="18"/>
      <c r="AB134" s="22"/>
      <c r="AC134" s="22"/>
      <c r="AD134" s="22"/>
    </row>
    <row r="135" spans="1:30" s="20" customFormat="1" ht="51" hidden="1" x14ac:dyDescent="0.2">
      <c r="A135" s="294">
        <f>A134+1</f>
        <v>103</v>
      </c>
      <c r="B135" s="257" t="s">
        <v>494</v>
      </c>
      <c r="C135" s="257" t="s">
        <v>471</v>
      </c>
      <c r="D135" s="305" t="s">
        <v>433</v>
      </c>
      <c r="E135" s="305">
        <v>157</v>
      </c>
      <c r="F135" s="305">
        <v>2</v>
      </c>
      <c r="G135" s="254">
        <f>F135*E135</f>
        <v>314</v>
      </c>
      <c r="H135" s="254"/>
      <c r="I135" s="299">
        <v>2.89</v>
      </c>
      <c r="J135" s="300">
        <v>1.9442999999999999</v>
      </c>
      <c r="K135" s="299">
        <f>ROUND(I135*J135,2)</f>
        <v>5.62</v>
      </c>
      <c r="L135" s="301">
        <f>ROUND(K135*G135,2)</f>
        <v>1764.68</v>
      </c>
      <c r="M135" s="154">
        <f>ROUND(L135*0.2,2)</f>
        <v>352.94</v>
      </c>
      <c r="N135" s="73">
        <f>ROUND(M135+L135,2)</f>
        <v>2117.62</v>
      </c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9"/>
      <c r="AA135" s="18"/>
      <c r="AB135" s="22"/>
      <c r="AC135" s="22"/>
      <c r="AD135" s="22"/>
    </row>
    <row r="136" spans="1:30" s="20" customFormat="1" ht="12.75" hidden="1" x14ac:dyDescent="0.2">
      <c r="A136" s="294"/>
      <c r="B136" s="257"/>
      <c r="C136" s="224" t="s">
        <v>530</v>
      </c>
      <c r="D136" s="305"/>
      <c r="E136" s="305"/>
      <c r="F136" s="305"/>
      <c r="G136" s="305"/>
      <c r="H136" s="254"/>
      <c r="I136" s="299"/>
      <c r="J136" s="300"/>
      <c r="K136" s="299"/>
      <c r="L136" s="301"/>
      <c r="M136" s="154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64"/>
      <c r="Z136" s="9"/>
      <c r="AA136" s="18"/>
      <c r="AB136" s="22"/>
      <c r="AC136" s="22"/>
      <c r="AD136" s="22"/>
    </row>
    <row r="137" spans="1:30" s="20" customFormat="1" ht="76.5" hidden="1" x14ac:dyDescent="0.2">
      <c r="A137" s="294">
        <f>A135+1</f>
        <v>104</v>
      </c>
      <c r="B137" s="257" t="s">
        <v>192</v>
      </c>
      <c r="C137" s="257" t="s">
        <v>119</v>
      </c>
      <c r="D137" s="305" t="s">
        <v>432</v>
      </c>
      <c r="E137" s="305">
        <v>6.0000000000000001E-3</v>
      </c>
      <c r="F137" s="305">
        <v>3</v>
      </c>
      <c r="G137" s="254">
        <f>F137*E137</f>
        <v>1.8000000000000002E-2</v>
      </c>
      <c r="H137" s="254"/>
      <c r="I137" s="299">
        <v>7314.22</v>
      </c>
      <c r="J137" s="300">
        <v>1.9442999999999999</v>
      </c>
      <c r="K137" s="299">
        <f>ROUND(I137*J137,2)</f>
        <v>14221.04</v>
      </c>
      <c r="L137" s="301">
        <f>ROUND(K137*G137,2)</f>
        <v>255.98</v>
      </c>
      <c r="M137" s="154">
        <f>ROUND(L137*0.2,2)</f>
        <v>51.2</v>
      </c>
      <c r="N137" s="73">
        <f>ROUND(M137+L137,2)</f>
        <v>307.18</v>
      </c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143"/>
      <c r="Z137" s="9"/>
      <c r="AA137" s="18"/>
      <c r="AB137" s="22"/>
      <c r="AC137" s="22"/>
      <c r="AD137" s="22"/>
    </row>
    <row r="138" spans="1:30" s="20" customFormat="1" ht="76.5" hidden="1" x14ac:dyDescent="0.2">
      <c r="A138" s="294">
        <f>A137+1</f>
        <v>105</v>
      </c>
      <c r="B138" s="257" t="s">
        <v>193</v>
      </c>
      <c r="C138" s="257" t="s">
        <v>120</v>
      </c>
      <c r="D138" s="305" t="s">
        <v>433</v>
      </c>
      <c r="E138" s="305">
        <v>157</v>
      </c>
      <c r="F138" s="305">
        <v>3</v>
      </c>
      <c r="G138" s="254">
        <f>F138*E138</f>
        <v>471</v>
      </c>
      <c r="H138" s="254"/>
      <c r="I138" s="299">
        <v>1.99</v>
      </c>
      <c r="J138" s="300">
        <v>1.9442999999999999</v>
      </c>
      <c r="K138" s="299">
        <f>ROUND(I138*J138,2)</f>
        <v>3.87</v>
      </c>
      <c r="L138" s="301">
        <f>ROUND(K138*G138,2)</f>
        <v>1822.77</v>
      </c>
      <c r="M138" s="154">
        <f>ROUND(L138*0.2,2)</f>
        <v>364.55</v>
      </c>
      <c r="N138" s="73">
        <f>ROUND(M138+L138,2)</f>
        <v>2187.3200000000002</v>
      </c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171"/>
      <c r="Z138" s="9"/>
      <c r="AA138" s="18"/>
      <c r="AB138" s="22"/>
      <c r="AC138" s="22"/>
      <c r="AD138" s="22"/>
    </row>
    <row r="139" spans="1:30" s="20" customFormat="1" ht="38.25" hidden="1" x14ac:dyDescent="0.2">
      <c r="A139" s="294"/>
      <c r="B139" s="257"/>
      <c r="C139" s="224" t="s">
        <v>443</v>
      </c>
      <c r="D139" s="254"/>
      <c r="E139" s="254"/>
      <c r="F139" s="254"/>
      <c r="G139" s="254"/>
      <c r="H139" s="254"/>
      <c r="I139" s="299"/>
      <c r="J139" s="300"/>
      <c r="K139" s="299"/>
      <c r="L139" s="301"/>
      <c r="M139" s="154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171"/>
      <c r="Z139" s="9"/>
      <c r="AA139" s="18"/>
      <c r="AB139" s="22"/>
      <c r="AC139" s="22"/>
      <c r="AD139" s="22"/>
    </row>
    <row r="140" spans="1:30" s="20" customFormat="1" ht="76.5" hidden="1" x14ac:dyDescent="0.2">
      <c r="A140" s="294">
        <f>A138+1</f>
        <v>106</v>
      </c>
      <c r="B140" s="257" t="s">
        <v>194</v>
      </c>
      <c r="C140" s="257" t="s">
        <v>144</v>
      </c>
      <c r="D140" s="254" t="s">
        <v>422</v>
      </c>
      <c r="E140" s="254">
        <v>3</v>
      </c>
      <c r="F140" s="254">
        <v>2</v>
      </c>
      <c r="G140" s="254">
        <f t="shared" ref="G140:G146" si="48">F140*E140</f>
        <v>6</v>
      </c>
      <c r="H140" s="254"/>
      <c r="I140" s="299">
        <v>964.56</v>
      </c>
      <c r="J140" s="300">
        <v>1.9442999999999999</v>
      </c>
      <c r="K140" s="299">
        <f t="shared" ref="K140:K146" si="49">ROUND(I140*J140,2)</f>
        <v>1875.39</v>
      </c>
      <c r="L140" s="301">
        <f t="shared" si="47"/>
        <v>11252.34</v>
      </c>
      <c r="M140" s="154">
        <f>ROUND(L140*0.2,2)</f>
        <v>2250.4699999999998</v>
      </c>
      <c r="N140" s="73">
        <f t="shared" si="46"/>
        <v>13502.81</v>
      </c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64"/>
      <c r="Z140" s="9"/>
      <c r="AA140" s="18"/>
      <c r="AB140" s="22"/>
      <c r="AC140" s="22"/>
      <c r="AD140" s="22"/>
    </row>
    <row r="141" spans="1:30" s="20" customFormat="1" ht="63.75" hidden="1" x14ac:dyDescent="0.2">
      <c r="A141" s="294">
        <f t="shared" ref="A141:A146" si="50">A140+1</f>
        <v>107</v>
      </c>
      <c r="B141" s="310" t="s">
        <v>412</v>
      </c>
      <c r="C141" s="257" t="s">
        <v>121</v>
      </c>
      <c r="D141" s="254" t="s">
        <v>422</v>
      </c>
      <c r="E141" s="254">
        <v>2</v>
      </c>
      <c r="F141" s="254">
        <v>6</v>
      </c>
      <c r="G141" s="254">
        <f t="shared" si="48"/>
        <v>12</v>
      </c>
      <c r="H141" s="254"/>
      <c r="I141" s="299">
        <v>130.31</v>
      </c>
      <c r="J141" s="300">
        <v>9.86</v>
      </c>
      <c r="K141" s="299">
        <f t="shared" si="49"/>
        <v>1284.8599999999999</v>
      </c>
      <c r="L141" s="301">
        <f t="shared" si="47"/>
        <v>15418.32</v>
      </c>
      <c r="M141" s="154">
        <f t="shared" si="45"/>
        <v>3083.66</v>
      </c>
      <c r="N141" s="73">
        <f t="shared" si="46"/>
        <v>18501.98</v>
      </c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64"/>
      <c r="Z141" s="9"/>
      <c r="AA141" s="18"/>
      <c r="AB141" s="22"/>
      <c r="AC141" s="22"/>
      <c r="AD141" s="22"/>
    </row>
    <row r="142" spans="1:30" s="20" customFormat="1" ht="63.75" hidden="1" x14ac:dyDescent="0.2">
      <c r="A142" s="294">
        <f t="shared" si="50"/>
        <v>108</v>
      </c>
      <c r="B142" s="310" t="s">
        <v>413</v>
      </c>
      <c r="C142" s="257" t="s">
        <v>423</v>
      </c>
      <c r="D142" s="254" t="s">
        <v>422</v>
      </c>
      <c r="E142" s="254">
        <v>2</v>
      </c>
      <c r="F142" s="254">
        <v>6</v>
      </c>
      <c r="G142" s="254">
        <f t="shared" si="48"/>
        <v>12</v>
      </c>
      <c r="H142" s="254"/>
      <c r="I142" s="299">
        <v>18.62</v>
      </c>
      <c r="J142" s="300">
        <v>9.86</v>
      </c>
      <c r="K142" s="299">
        <f t="shared" si="49"/>
        <v>183.59</v>
      </c>
      <c r="L142" s="301">
        <f t="shared" si="47"/>
        <v>2203.08</v>
      </c>
      <c r="M142" s="154">
        <f t="shared" si="45"/>
        <v>440.62</v>
      </c>
      <c r="N142" s="73">
        <f t="shared" si="46"/>
        <v>2643.7</v>
      </c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64"/>
      <c r="Z142" s="9"/>
      <c r="AA142" s="18"/>
      <c r="AB142" s="22"/>
      <c r="AC142" s="22"/>
      <c r="AD142" s="22"/>
    </row>
    <row r="143" spans="1:30" s="20" customFormat="1" ht="63.75" hidden="1" x14ac:dyDescent="0.2">
      <c r="A143" s="294">
        <f t="shared" si="50"/>
        <v>109</v>
      </c>
      <c r="B143" s="310" t="s">
        <v>414</v>
      </c>
      <c r="C143" s="257" t="s">
        <v>424</v>
      </c>
      <c r="D143" s="254" t="s">
        <v>422</v>
      </c>
      <c r="E143" s="254">
        <v>1</v>
      </c>
      <c r="F143" s="254">
        <v>2</v>
      </c>
      <c r="G143" s="254">
        <f t="shared" si="48"/>
        <v>2</v>
      </c>
      <c r="H143" s="254"/>
      <c r="I143" s="299">
        <v>161.86000000000001</v>
      </c>
      <c r="J143" s="300">
        <v>9.86</v>
      </c>
      <c r="K143" s="299">
        <f t="shared" si="49"/>
        <v>1595.94</v>
      </c>
      <c r="L143" s="301">
        <f t="shared" si="47"/>
        <v>3191.88</v>
      </c>
      <c r="M143" s="154">
        <f t="shared" si="45"/>
        <v>638.38</v>
      </c>
      <c r="N143" s="73">
        <f t="shared" si="46"/>
        <v>3830.26</v>
      </c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64"/>
      <c r="Z143" s="9"/>
      <c r="AA143" s="18"/>
      <c r="AB143" s="22"/>
      <c r="AC143" s="22"/>
      <c r="AD143" s="22"/>
    </row>
    <row r="144" spans="1:30" s="20" customFormat="1" ht="63.75" hidden="1" x14ac:dyDescent="0.2">
      <c r="A144" s="294">
        <f t="shared" si="50"/>
        <v>110</v>
      </c>
      <c r="B144" s="310" t="s">
        <v>415</v>
      </c>
      <c r="C144" s="257" t="s">
        <v>122</v>
      </c>
      <c r="D144" s="254" t="s">
        <v>422</v>
      </c>
      <c r="E144" s="254">
        <v>1</v>
      </c>
      <c r="F144" s="254">
        <v>2</v>
      </c>
      <c r="G144" s="254">
        <f t="shared" si="48"/>
        <v>2</v>
      </c>
      <c r="H144" s="254"/>
      <c r="I144" s="299">
        <v>501.73</v>
      </c>
      <c r="J144" s="300">
        <v>9.86</v>
      </c>
      <c r="K144" s="299">
        <f t="shared" si="49"/>
        <v>4947.0600000000004</v>
      </c>
      <c r="L144" s="301">
        <f t="shared" si="47"/>
        <v>9894.1200000000008</v>
      </c>
      <c r="M144" s="154">
        <f t="shared" si="45"/>
        <v>1978.82</v>
      </c>
      <c r="N144" s="73">
        <f t="shared" si="46"/>
        <v>11872.94</v>
      </c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64"/>
      <c r="Z144" s="9"/>
      <c r="AA144" s="18"/>
      <c r="AB144" s="22"/>
      <c r="AC144" s="22"/>
      <c r="AD144" s="22"/>
    </row>
    <row r="145" spans="1:30" s="20" customFormat="1" ht="63.75" hidden="1" x14ac:dyDescent="0.2">
      <c r="A145" s="294">
        <f t="shared" si="50"/>
        <v>111</v>
      </c>
      <c r="B145" s="310" t="s">
        <v>416</v>
      </c>
      <c r="C145" s="257" t="s">
        <v>123</v>
      </c>
      <c r="D145" s="254" t="s">
        <v>422</v>
      </c>
      <c r="E145" s="254">
        <v>2</v>
      </c>
      <c r="F145" s="254">
        <v>6</v>
      </c>
      <c r="G145" s="254">
        <f t="shared" si="48"/>
        <v>12</v>
      </c>
      <c r="H145" s="254"/>
      <c r="I145" s="299">
        <v>135.63999999999999</v>
      </c>
      <c r="J145" s="300">
        <v>9.86</v>
      </c>
      <c r="K145" s="299">
        <f t="shared" si="49"/>
        <v>1337.41</v>
      </c>
      <c r="L145" s="301">
        <f t="shared" si="47"/>
        <v>16048.92</v>
      </c>
      <c r="M145" s="154">
        <f t="shared" si="45"/>
        <v>3209.78</v>
      </c>
      <c r="N145" s="73">
        <f t="shared" si="46"/>
        <v>19258.7</v>
      </c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9"/>
      <c r="AA145" s="18"/>
      <c r="AB145" s="22"/>
      <c r="AC145" s="22"/>
      <c r="AD145" s="22"/>
    </row>
    <row r="146" spans="1:30" s="20" customFormat="1" ht="255" hidden="1" x14ac:dyDescent="0.2">
      <c r="A146" s="294">
        <f t="shared" si="50"/>
        <v>112</v>
      </c>
      <c r="B146" s="257" t="s">
        <v>341</v>
      </c>
      <c r="C146" s="257" t="s">
        <v>124</v>
      </c>
      <c r="D146" s="254" t="s">
        <v>91</v>
      </c>
      <c r="E146" s="254">
        <v>1442</v>
      </c>
      <c r="F146" s="254">
        <v>1</v>
      </c>
      <c r="G146" s="254">
        <f t="shared" si="48"/>
        <v>1442</v>
      </c>
      <c r="H146" s="254"/>
      <c r="I146" s="299">
        <v>7.1</v>
      </c>
      <c r="J146" s="254">
        <v>1.1140000000000001</v>
      </c>
      <c r="K146" s="299">
        <f t="shared" si="49"/>
        <v>7.91</v>
      </c>
      <c r="L146" s="301">
        <f t="shared" si="47"/>
        <v>11406.22</v>
      </c>
      <c r="M146" s="154">
        <f t="shared" si="45"/>
        <v>2281.2399999999998</v>
      </c>
      <c r="N146" s="73">
        <f t="shared" si="46"/>
        <v>13687.46</v>
      </c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64"/>
      <c r="Z146" s="9"/>
      <c r="AA146" s="18"/>
      <c r="AB146" s="22"/>
      <c r="AC146" s="22"/>
      <c r="AD146" s="22"/>
    </row>
    <row r="147" spans="1:30" s="20" customFormat="1" ht="76.5" hidden="1" x14ac:dyDescent="0.2">
      <c r="A147" s="294"/>
      <c r="B147" s="291"/>
      <c r="C147" s="225" t="s">
        <v>11</v>
      </c>
      <c r="D147" s="226"/>
      <c r="E147" s="226"/>
      <c r="F147" s="226"/>
      <c r="G147" s="226"/>
      <c r="H147" s="254"/>
      <c r="I147" s="299"/>
      <c r="J147" s="254"/>
      <c r="K147" s="299"/>
      <c r="L147" s="301"/>
      <c r="M147" s="154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64"/>
      <c r="Z147" s="9"/>
      <c r="AA147" s="18"/>
      <c r="AB147" s="22"/>
      <c r="AC147" s="22"/>
      <c r="AD147" s="22"/>
    </row>
    <row r="148" spans="1:30" s="20" customFormat="1" ht="12.75" hidden="1" x14ac:dyDescent="0.2">
      <c r="A148" s="294"/>
      <c r="B148" s="291"/>
      <c r="C148" s="224" t="s">
        <v>441</v>
      </c>
      <c r="D148" s="254"/>
      <c r="E148" s="254"/>
      <c r="F148" s="254"/>
      <c r="G148" s="254"/>
      <c r="H148" s="254"/>
      <c r="I148" s="299"/>
      <c r="J148" s="254"/>
      <c r="K148" s="299"/>
      <c r="L148" s="301"/>
      <c r="M148" s="154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8"/>
      <c r="Z148" s="9"/>
      <c r="AA148" s="18"/>
      <c r="AB148" s="22"/>
      <c r="AC148" s="22"/>
      <c r="AD148" s="22"/>
    </row>
    <row r="149" spans="1:30" s="20" customFormat="1" ht="76.5" hidden="1" x14ac:dyDescent="0.2">
      <c r="A149" s="294">
        <f>A146+1</f>
        <v>113</v>
      </c>
      <c r="B149" s="257" t="s">
        <v>151</v>
      </c>
      <c r="C149" s="257" t="s">
        <v>116</v>
      </c>
      <c r="D149" s="254" t="s">
        <v>118</v>
      </c>
      <c r="E149" s="254">
        <v>1.93</v>
      </c>
      <c r="F149" s="254">
        <v>2</v>
      </c>
      <c r="G149" s="254">
        <f>F149*E149</f>
        <v>3.86</v>
      </c>
      <c r="H149" s="254"/>
      <c r="I149" s="299">
        <v>44.32</v>
      </c>
      <c r="J149" s="300">
        <v>1.9442999999999999</v>
      </c>
      <c r="K149" s="299">
        <f>ROUND(I149*J149,2)</f>
        <v>86.17</v>
      </c>
      <c r="L149" s="301">
        <f>ROUND(K149*G149,2)</f>
        <v>332.62</v>
      </c>
      <c r="M149" s="154">
        <f t="shared" si="45"/>
        <v>66.52</v>
      </c>
      <c r="N149" s="73">
        <f t="shared" si="46"/>
        <v>399.14</v>
      </c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64"/>
      <c r="Z149" s="9"/>
      <c r="AA149" s="18"/>
      <c r="AB149" s="22"/>
      <c r="AC149" s="22"/>
      <c r="AD149" s="22"/>
    </row>
    <row r="150" spans="1:30" s="20" customFormat="1" ht="76.5" hidden="1" x14ac:dyDescent="0.2">
      <c r="A150" s="294">
        <f>A149+1</f>
        <v>114</v>
      </c>
      <c r="B150" s="257" t="s">
        <v>191</v>
      </c>
      <c r="C150" s="257" t="s">
        <v>117</v>
      </c>
      <c r="D150" s="254" t="s">
        <v>432</v>
      </c>
      <c r="E150" s="254">
        <v>2.1000000000000001E-2</v>
      </c>
      <c r="F150" s="254">
        <v>3</v>
      </c>
      <c r="G150" s="254">
        <f>F150*E150</f>
        <v>6.3E-2</v>
      </c>
      <c r="H150" s="254"/>
      <c r="I150" s="299">
        <v>4728.2</v>
      </c>
      <c r="J150" s="300">
        <v>1.9442999999999999</v>
      </c>
      <c r="K150" s="299">
        <f>ROUND(I150*J150,2)</f>
        <v>9193.0400000000009</v>
      </c>
      <c r="L150" s="301">
        <f>ROUND(K150*G150,2)</f>
        <v>579.16</v>
      </c>
      <c r="M150" s="154">
        <f t="shared" si="45"/>
        <v>115.83</v>
      </c>
      <c r="N150" s="73">
        <f t="shared" si="46"/>
        <v>694.99</v>
      </c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64"/>
      <c r="Z150" s="9"/>
      <c r="AA150" s="18"/>
      <c r="AB150" s="22"/>
      <c r="AC150" s="22"/>
      <c r="AD150" s="22"/>
    </row>
    <row r="151" spans="1:30" s="20" customFormat="1" ht="51" hidden="1" x14ac:dyDescent="0.2">
      <c r="A151" s="294">
        <f>A150+1</f>
        <v>115</v>
      </c>
      <c r="B151" s="257" t="s">
        <v>492</v>
      </c>
      <c r="C151" s="257" t="s">
        <v>493</v>
      </c>
      <c r="D151" s="305" t="s">
        <v>433</v>
      </c>
      <c r="E151" s="305">
        <v>193</v>
      </c>
      <c r="F151" s="305">
        <v>1</v>
      </c>
      <c r="G151" s="254">
        <f>F151*E151</f>
        <v>193</v>
      </c>
      <c r="H151" s="254"/>
      <c r="I151" s="299">
        <v>83.24</v>
      </c>
      <c r="J151" s="300">
        <v>1.9442999999999999</v>
      </c>
      <c r="K151" s="299">
        <f>ROUND(I151*J151,2)</f>
        <v>161.84</v>
      </c>
      <c r="L151" s="301">
        <f>ROUND(K151*G151,2)</f>
        <v>31235.119999999999</v>
      </c>
      <c r="M151" s="154">
        <f>ROUND(L151*0.2,2)</f>
        <v>6247.02</v>
      </c>
      <c r="N151" s="73">
        <f>ROUND(M151+L151,2)</f>
        <v>37482.14</v>
      </c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64"/>
      <c r="Z151" s="9"/>
      <c r="AA151" s="18"/>
      <c r="AB151" s="22"/>
      <c r="AC151" s="22"/>
      <c r="AD151" s="22"/>
    </row>
    <row r="152" spans="1:30" s="20" customFormat="1" ht="51" hidden="1" x14ac:dyDescent="0.2">
      <c r="A152" s="294">
        <f>A151+1</f>
        <v>116</v>
      </c>
      <c r="B152" s="257" t="s">
        <v>494</v>
      </c>
      <c r="C152" s="257" t="s">
        <v>471</v>
      </c>
      <c r="D152" s="305" t="s">
        <v>433</v>
      </c>
      <c r="E152" s="305">
        <v>193</v>
      </c>
      <c r="F152" s="305">
        <v>2</v>
      </c>
      <c r="G152" s="254">
        <f>F152*E152</f>
        <v>386</v>
      </c>
      <c r="H152" s="254"/>
      <c r="I152" s="299">
        <v>2.89</v>
      </c>
      <c r="J152" s="300">
        <v>1.9442999999999999</v>
      </c>
      <c r="K152" s="299">
        <f>ROUND(I152*J152,2)</f>
        <v>5.62</v>
      </c>
      <c r="L152" s="301">
        <f>ROUND(K152*G152,2)</f>
        <v>2169.3200000000002</v>
      </c>
      <c r="M152" s="154">
        <f>ROUND(L152*0.2,2)</f>
        <v>433.86</v>
      </c>
      <c r="N152" s="73">
        <f>ROUND(M152+L152,2)</f>
        <v>2603.1799999999998</v>
      </c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9"/>
      <c r="AA152" s="18"/>
      <c r="AB152" s="22"/>
      <c r="AC152" s="22"/>
      <c r="AD152" s="22"/>
    </row>
    <row r="153" spans="1:30" s="20" customFormat="1" ht="12.75" hidden="1" x14ac:dyDescent="0.2">
      <c r="A153" s="294"/>
      <c r="B153" s="257"/>
      <c r="C153" s="224" t="s">
        <v>12</v>
      </c>
      <c r="D153" s="305"/>
      <c r="E153" s="305"/>
      <c r="F153" s="305"/>
      <c r="G153" s="254"/>
      <c r="H153" s="254"/>
      <c r="I153" s="299"/>
      <c r="J153" s="300"/>
      <c r="K153" s="299"/>
      <c r="L153" s="301"/>
      <c r="M153" s="154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64"/>
      <c r="Z153" s="9"/>
      <c r="AA153" s="18"/>
      <c r="AB153" s="22"/>
      <c r="AC153" s="22"/>
      <c r="AD153" s="22"/>
    </row>
    <row r="154" spans="1:30" s="20" customFormat="1" ht="76.5" hidden="1" x14ac:dyDescent="0.2">
      <c r="A154" s="294">
        <f>A152+1</f>
        <v>117</v>
      </c>
      <c r="B154" s="257" t="s">
        <v>192</v>
      </c>
      <c r="C154" s="257" t="s">
        <v>119</v>
      </c>
      <c r="D154" s="305" t="s">
        <v>432</v>
      </c>
      <c r="E154" s="305">
        <v>2.1000000000000001E-2</v>
      </c>
      <c r="F154" s="305">
        <v>3</v>
      </c>
      <c r="G154" s="254">
        <f>F154*E154</f>
        <v>6.3E-2</v>
      </c>
      <c r="H154" s="254"/>
      <c r="I154" s="299">
        <v>7314.22</v>
      </c>
      <c r="J154" s="300">
        <v>1.9442999999999999</v>
      </c>
      <c r="K154" s="299">
        <f>ROUND(I154*J154,2)</f>
        <v>14221.04</v>
      </c>
      <c r="L154" s="301">
        <f>ROUND(K154*G154,2)</f>
        <v>895.93</v>
      </c>
      <c r="M154" s="154">
        <f>ROUND(L154*0.2,2)</f>
        <v>179.19</v>
      </c>
      <c r="N154" s="73">
        <f>ROUND(M154+L154,2)</f>
        <v>1075.1199999999999</v>
      </c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143"/>
      <c r="Z154" s="9"/>
      <c r="AA154" s="18"/>
      <c r="AB154" s="22"/>
      <c r="AC154" s="22"/>
      <c r="AD154" s="22"/>
    </row>
    <row r="155" spans="1:30" s="20" customFormat="1" ht="76.5" hidden="1" x14ac:dyDescent="0.2">
      <c r="A155" s="294">
        <f>A154+1</f>
        <v>118</v>
      </c>
      <c r="B155" s="257" t="s">
        <v>193</v>
      </c>
      <c r="C155" s="257" t="s">
        <v>120</v>
      </c>
      <c r="D155" s="305" t="s">
        <v>433</v>
      </c>
      <c r="E155" s="305">
        <v>193</v>
      </c>
      <c r="F155" s="305">
        <v>3</v>
      </c>
      <c r="G155" s="254">
        <f>F155*E155</f>
        <v>579</v>
      </c>
      <c r="H155" s="254"/>
      <c r="I155" s="299">
        <v>1.99</v>
      </c>
      <c r="J155" s="300">
        <v>1.9442999999999999</v>
      </c>
      <c r="K155" s="299">
        <f>ROUND(I155*J155,2)</f>
        <v>3.87</v>
      </c>
      <c r="L155" s="301">
        <f>ROUND(K155*G155,2)</f>
        <v>2240.73</v>
      </c>
      <c r="M155" s="154">
        <f>ROUND(L155*0.2,2)</f>
        <v>448.15</v>
      </c>
      <c r="N155" s="73">
        <f>ROUND(M155+L155,2)</f>
        <v>2688.88</v>
      </c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171"/>
      <c r="Z155" s="9"/>
      <c r="AA155" s="18"/>
      <c r="AB155" s="22"/>
      <c r="AC155" s="22"/>
      <c r="AD155" s="22"/>
    </row>
    <row r="156" spans="1:30" s="20" customFormat="1" ht="38.25" hidden="1" x14ac:dyDescent="0.2">
      <c r="A156" s="294"/>
      <c r="B156" s="291"/>
      <c r="C156" s="224" t="s">
        <v>442</v>
      </c>
      <c r="D156" s="254"/>
      <c r="E156" s="254"/>
      <c r="F156" s="254"/>
      <c r="G156" s="254"/>
      <c r="H156" s="254"/>
      <c r="I156" s="299"/>
      <c r="J156" s="300"/>
      <c r="K156" s="299"/>
      <c r="L156" s="301"/>
      <c r="M156" s="154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171"/>
      <c r="Z156" s="9"/>
      <c r="AA156" s="18"/>
      <c r="AB156" s="22"/>
      <c r="AC156" s="22"/>
      <c r="AD156" s="22"/>
    </row>
    <row r="157" spans="1:30" s="20" customFormat="1" ht="76.5" hidden="1" x14ac:dyDescent="0.2">
      <c r="A157" s="294">
        <f>A155+1</f>
        <v>119</v>
      </c>
      <c r="B157" s="257" t="s">
        <v>194</v>
      </c>
      <c r="C157" s="257" t="s">
        <v>144</v>
      </c>
      <c r="D157" s="254" t="s">
        <v>422</v>
      </c>
      <c r="E157" s="254">
        <v>3</v>
      </c>
      <c r="F157" s="254">
        <v>2</v>
      </c>
      <c r="G157" s="254">
        <f t="shared" ref="G157:G163" si="51">F157*E157</f>
        <v>6</v>
      </c>
      <c r="H157" s="254"/>
      <c r="I157" s="299">
        <v>964.56</v>
      </c>
      <c r="J157" s="300">
        <v>1.9442999999999999</v>
      </c>
      <c r="K157" s="299">
        <f t="shared" ref="K157:K163" si="52">ROUND(I157*J157,2)</f>
        <v>1875.39</v>
      </c>
      <c r="L157" s="301">
        <f t="shared" ref="L157:L163" si="53">ROUND(K157*G157,2)</f>
        <v>11252.34</v>
      </c>
      <c r="M157" s="154">
        <f t="shared" si="45"/>
        <v>2250.4699999999998</v>
      </c>
      <c r="N157" s="73">
        <f t="shared" si="46"/>
        <v>13502.81</v>
      </c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64"/>
      <c r="Z157" s="9"/>
      <c r="AA157" s="18"/>
      <c r="AB157" s="22"/>
      <c r="AC157" s="22"/>
      <c r="AD157" s="22"/>
    </row>
    <row r="158" spans="1:30" s="20" customFormat="1" ht="63.75" hidden="1" x14ac:dyDescent="0.2">
      <c r="A158" s="294">
        <f t="shared" ref="A158:A163" si="54">A157+1</f>
        <v>120</v>
      </c>
      <c r="B158" s="310" t="s">
        <v>412</v>
      </c>
      <c r="C158" s="257" t="s">
        <v>121</v>
      </c>
      <c r="D158" s="254" t="s">
        <v>422</v>
      </c>
      <c r="E158" s="254">
        <v>2</v>
      </c>
      <c r="F158" s="254">
        <v>6</v>
      </c>
      <c r="G158" s="254">
        <f t="shared" si="51"/>
        <v>12</v>
      </c>
      <c r="H158" s="254"/>
      <c r="I158" s="299">
        <v>130.31</v>
      </c>
      <c r="J158" s="300">
        <v>9.86</v>
      </c>
      <c r="K158" s="299">
        <f t="shared" si="52"/>
        <v>1284.8599999999999</v>
      </c>
      <c r="L158" s="301">
        <f t="shared" si="53"/>
        <v>15418.32</v>
      </c>
      <c r="M158" s="154">
        <f t="shared" si="45"/>
        <v>3083.66</v>
      </c>
      <c r="N158" s="73">
        <f t="shared" si="46"/>
        <v>18501.98</v>
      </c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64"/>
      <c r="Z158" s="9"/>
      <c r="AA158" s="18"/>
      <c r="AB158" s="22"/>
      <c r="AC158" s="22"/>
      <c r="AD158" s="22"/>
    </row>
    <row r="159" spans="1:30" s="20" customFormat="1" ht="63.75" hidden="1" x14ac:dyDescent="0.2">
      <c r="A159" s="294">
        <f t="shared" si="54"/>
        <v>121</v>
      </c>
      <c r="B159" s="310" t="s">
        <v>413</v>
      </c>
      <c r="C159" s="257" t="s">
        <v>423</v>
      </c>
      <c r="D159" s="254" t="s">
        <v>422</v>
      </c>
      <c r="E159" s="254">
        <v>2</v>
      </c>
      <c r="F159" s="254">
        <v>6</v>
      </c>
      <c r="G159" s="254">
        <f t="shared" si="51"/>
        <v>12</v>
      </c>
      <c r="H159" s="254"/>
      <c r="I159" s="299">
        <v>18.62</v>
      </c>
      <c r="J159" s="300">
        <v>9.86</v>
      </c>
      <c r="K159" s="299">
        <f t="shared" si="52"/>
        <v>183.59</v>
      </c>
      <c r="L159" s="301">
        <f t="shared" si="53"/>
        <v>2203.08</v>
      </c>
      <c r="M159" s="154">
        <f t="shared" si="45"/>
        <v>440.62</v>
      </c>
      <c r="N159" s="73">
        <f t="shared" si="46"/>
        <v>2643.7</v>
      </c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64"/>
      <c r="Z159" s="9"/>
      <c r="AA159" s="18"/>
      <c r="AB159" s="22"/>
      <c r="AC159" s="22"/>
      <c r="AD159" s="22"/>
    </row>
    <row r="160" spans="1:30" s="20" customFormat="1" ht="63.75" hidden="1" x14ac:dyDescent="0.2">
      <c r="A160" s="294">
        <f t="shared" si="54"/>
        <v>122</v>
      </c>
      <c r="B160" s="310" t="s">
        <v>414</v>
      </c>
      <c r="C160" s="257" t="s">
        <v>424</v>
      </c>
      <c r="D160" s="254" t="s">
        <v>422</v>
      </c>
      <c r="E160" s="254">
        <v>1</v>
      </c>
      <c r="F160" s="254">
        <v>2</v>
      </c>
      <c r="G160" s="254">
        <f t="shared" si="51"/>
        <v>2</v>
      </c>
      <c r="H160" s="254"/>
      <c r="I160" s="299">
        <v>161.86000000000001</v>
      </c>
      <c r="J160" s="300">
        <v>9.86</v>
      </c>
      <c r="K160" s="299">
        <f t="shared" si="52"/>
        <v>1595.94</v>
      </c>
      <c r="L160" s="301">
        <f t="shared" si="53"/>
        <v>3191.88</v>
      </c>
      <c r="M160" s="154">
        <f t="shared" si="45"/>
        <v>638.38</v>
      </c>
      <c r="N160" s="73">
        <f t="shared" si="46"/>
        <v>3830.26</v>
      </c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64"/>
      <c r="Z160" s="9"/>
      <c r="AA160" s="18"/>
      <c r="AB160" s="22"/>
      <c r="AC160" s="22"/>
      <c r="AD160" s="22"/>
    </row>
    <row r="161" spans="1:30" s="20" customFormat="1" ht="63.75" hidden="1" x14ac:dyDescent="0.2">
      <c r="A161" s="294">
        <f t="shared" si="54"/>
        <v>123</v>
      </c>
      <c r="B161" s="310" t="s">
        <v>415</v>
      </c>
      <c r="C161" s="257" t="s">
        <v>122</v>
      </c>
      <c r="D161" s="254" t="s">
        <v>422</v>
      </c>
      <c r="E161" s="254">
        <v>1</v>
      </c>
      <c r="F161" s="254">
        <v>2</v>
      </c>
      <c r="G161" s="254">
        <f t="shared" si="51"/>
        <v>2</v>
      </c>
      <c r="H161" s="254"/>
      <c r="I161" s="299">
        <v>501.73</v>
      </c>
      <c r="J161" s="300">
        <v>9.86</v>
      </c>
      <c r="K161" s="299">
        <f t="shared" si="52"/>
        <v>4947.0600000000004</v>
      </c>
      <c r="L161" s="301">
        <f t="shared" si="53"/>
        <v>9894.1200000000008</v>
      </c>
      <c r="M161" s="154">
        <f t="shared" si="45"/>
        <v>1978.82</v>
      </c>
      <c r="N161" s="73">
        <f t="shared" si="46"/>
        <v>11872.94</v>
      </c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64"/>
      <c r="Z161" s="9"/>
      <c r="AA161" s="18"/>
      <c r="AB161" s="22"/>
      <c r="AC161" s="22"/>
      <c r="AD161" s="22"/>
    </row>
    <row r="162" spans="1:30" s="20" customFormat="1" ht="63.75" hidden="1" x14ac:dyDescent="0.2">
      <c r="A162" s="294">
        <f t="shared" si="54"/>
        <v>124</v>
      </c>
      <c r="B162" s="310" t="s">
        <v>416</v>
      </c>
      <c r="C162" s="257" t="s">
        <v>123</v>
      </c>
      <c r="D162" s="254" t="s">
        <v>422</v>
      </c>
      <c r="E162" s="254">
        <v>2</v>
      </c>
      <c r="F162" s="254">
        <v>6</v>
      </c>
      <c r="G162" s="254">
        <f t="shared" si="51"/>
        <v>12</v>
      </c>
      <c r="H162" s="254"/>
      <c r="I162" s="299">
        <v>135.63999999999999</v>
      </c>
      <c r="J162" s="300">
        <v>9.86</v>
      </c>
      <c r="K162" s="299">
        <f t="shared" si="52"/>
        <v>1337.41</v>
      </c>
      <c r="L162" s="301">
        <f t="shared" si="53"/>
        <v>16048.92</v>
      </c>
      <c r="M162" s="154">
        <f t="shared" si="45"/>
        <v>3209.78</v>
      </c>
      <c r="N162" s="73">
        <f t="shared" si="46"/>
        <v>19258.7</v>
      </c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9"/>
      <c r="AA162" s="18"/>
      <c r="AB162" s="22"/>
      <c r="AC162" s="22"/>
      <c r="AD162" s="22"/>
    </row>
    <row r="163" spans="1:30" s="20" customFormat="1" ht="39.75" hidden="1" customHeight="1" x14ac:dyDescent="0.2">
      <c r="A163" s="294">
        <f t="shared" si="54"/>
        <v>125</v>
      </c>
      <c r="B163" s="257" t="s">
        <v>341</v>
      </c>
      <c r="C163" s="257" t="s">
        <v>124</v>
      </c>
      <c r="D163" s="254" t="s">
        <v>91</v>
      </c>
      <c r="E163" s="254">
        <v>1442</v>
      </c>
      <c r="F163" s="254">
        <v>1</v>
      </c>
      <c r="G163" s="254">
        <f t="shared" si="51"/>
        <v>1442</v>
      </c>
      <c r="H163" s="254"/>
      <c r="I163" s="299">
        <v>7.1</v>
      </c>
      <c r="J163" s="254">
        <v>1.1140000000000001</v>
      </c>
      <c r="K163" s="299">
        <f t="shared" si="52"/>
        <v>7.91</v>
      </c>
      <c r="L163" s="301">
        <f t="shared" si="53"/>
        <v>11406.22</v>
      </c>
      <c r="M163" s="154">
        <f t="shared" si="45"/>
        <v>2281.2399999999998</v>
      </c>
      <c r="N163" s="73">
        <f t="shared" si="46"/>
        <v>13687.46</v>
      </c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64"/>
      <c r="Z163" s="9"/>
      <c r="AA163" s="18"/>
      <c r="AB163" s="22"/>
      <c r="AC163" s="22"/>
      <c r="AD163" s="22"/>
    </row>
    <row r="164" spans="1:30" s="20" customFormat="1" ht="63.75" hidden="1" x14ac:dyDescent="0.2">
      <c r="A164" s="294"/>
      <c r="B164" s="291"/>
      <c r="C164" s="225" t="s">
        <v>13</v>
      </c>
      <c r="D164" s="227"/>
      <c r="E164" s="227"/>
      <c r="F164" s="227"/>
      <c r="G164" s="254"/>
      <c r="H164" s="254"/>
      <c r="I164" s="299"/>
      <c r="J164" s="254"/>
      <c r="K164" s="299"/>
      <c r="L164" s="301"/>
      <c r="M164" s="154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64"/>
      <c r="Z164" s="9"/>
      <c r="AA164" s="18"/>
      <c r="AB164" s="22"/>
      <c r="AC164" s="22"/>
      <c r="AD164" s="22"/>
    </row>
    <row r="165" spans="1:30" s="20" customFormat="1" ht="12.75" hidden="1" x14ac:dyDescent="0.2">
      <c r="A165" s="294"/>
      <c r="B165" s="291"/>
      <c r="C165" s="224" t="s">
        <v>441</v>
      </c>
      <c r="D165" s="254"/>
      <c r="E165" s="254"/>
      <c r="F165" s="254"/>
      <c r="G165" s="254"/>
      <c r="H165" s="254"/>
      <c r="I165" s="299"/>
      <c r="J165" s="254"/>
      <c r="K165" s="299"/>
      <c r="L165" s="301"/>
      <c r="M165" s="154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8"/>
      <c r="Z165" s="9"/>
      <c r="AA165" s="18"/>
      <c r="AB165" s="22"/>
      <c r="AC165" s="22"/>
      <c r="AD165" s="22"/>
    </row>
    <row r="166" spans="1:30" s="20" customFormat="1" ht="76.5" hidden="1" x14ac:dyDescent="0.2">
      <c r="A166" s="294">
        <f>A163+1</f>
        <v>126</v>
      </c>
      <c r="B166" s="257" t="s">
        <v>151</v>
      </c>
      <c r="C166" s="257" t="s">
        <v>116</v>
      </c>
      <c r="D166" s="254" t="s">
        <v>118</v>
      </c>
      <c r="E166" s="254">
        <v>1.82</v>
      </c>
      <c r="F166" s="254">
        <v>2</v>
      </c>
      <c r="G166" s="254">
        <f>F166*E166</f>
        <v>3.64</v>
      </c>
      <c r="H166" s="254"/>
      <c r="I166" s="299">
        <v>44.32</v>
      </c>
      <c r="J166" s="300">
        <v>1.9442999999999999</v>
      </c>
      <c r="K166" s="299">
        <f>ROUND(I166*J166,2)</f>
        <v>86.17</v>
      </c>
      <c r="L166" s="301">
        <f>ROUND(K166*G166,2)</f>
        <v>313.66000000000003</v>
      </c>
      <c r="M166" s="154">
        <f t="shared" si="45"/>
        <v>62.73</v>
      </c>
      <c r="N166" s="73">
        <f t="shared" si="46"/>
        <v>376.39</v>
      </c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64"/>
      <c r="Z166" s="9"/>
      <c r="AA166" s="18"/>
      <c r="AB166" s="22"/>
      <c r="AC166" s="22"/>
      <c r="AD166" s="22"/>
    </row>
    <row r="167" spans="1:30" s="20" customFormat="1" ht="76.5" hidden="1" x14ac:dyDescent="0.2">
      <c r="A167" s="294">
        <f>A166+1</f>
        <v>127</v>
      </c>
      <c r="B167" s="257" t="s">
        <v>191</v>
      </c>
      <c r="C167" s="257" t="s">
        <v>117</v>
      </c>
      <c r="D167" s="254" t="s">
        <v>432</v>
      </c>
      <c r="E167" s="254">
        <v>1.7000000000000001E-2</v>
      </c>
      <c r="F167" s="254">
        <v>3</v>
      </c>
      <c r="G167" s="254">
        <f>F167*E167</f>
        <v>5.1000000000000004E-2</v>
      </c>
      <c r="H167" s="254"/>
      <c r="I167" s="299">
        <v>4728.2</v>
      </c>
      <c r="J167" s="300">
        <v>1.9442999999999999</v>
      </c>
      <c r="K167" s="299">
        <f>ROUND(I167*J167,2)</f>
        <v>9193.0400000000009</v>
      </c>
      <c r="L167" s="301">
        <f>ROUND(K167*G167,2)</f>
        <v>468.85</v>
      </c>
      <c r="M167" s="154">
        <f t="shared" si="45"/>
        <v>93.77</v>
      </c>
      <c r="N167" s="73">
        <f t="shared" si="46"/>
        <v>562.62</v>
      </c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64"/>
      <c r="Z167" s="9"/>
      <c r="AA167" s="18"/>
      <c r="AB167" s="22"/>
      <c r="AC167" s="22"/>
      <c r="AD167" s="22"/>
    </row>
    <row r="168" spans="1:30" s="20" customFormat="1" ht="51" hidden="1" x14ac:dyDescent="0.2">
      <c r="A168" s="294">
        <f>A167+1</f>
        <v>128</v>
      </c>
      <c r="B168" s="257" t="s">
        <v>492</v>
      </c>
      <c r="C168" s="257" t="s">
        <v>493</v>
      </c>
      <c r="D168" s="305" t="s">
        <v>433</v>
      </c>
      <c r="E168" s="305">
        <v>182</v>
      </c>
      <c r="F168" s="305">
        <v>1</v>
      </c>
      <c r="G168" s="254">
        <f>F168*E168</f>
        <v>182</v>
      </c>
      <c r="H168" s="254"/>
      <c r="I168" s="299">
        <v>83.24</v>
      </c>
      <c r="J168" s="300">
        <v>1.9442999999999999</v>
      </c>
      <c r="K168" s="299">
        <f>ROUND(I168*J168,2)</f>
        <v>161.84</v>
      </c>
      <c r="L168" s="301">
        <f>ROUND(K168*G168,2)</f>
        <v>29454.880000000001</v>
      </c>
      <c r="M168" s="154">
        <f>ROUND(L168*0.2,2)</f>
        <v>5890.98</v>
      </c>
      <c r="N168" s="73">
        <f>ROUND(M168+L168,2)</f>
        <v>35345.86</v>
      </c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64"/>
      <c r="Z168" s="9"/>
      <c r="AA168" s="18"/>
      <c r="AB168" s="22"/>
      <c r="AC168" s="22"/>
      <c r="AD168" s="22"/>
    </row>
    <row r="169" spans="1:30" s="20" customFormat="1" ht="51" hidden="1" x14ac:dyDescent="0.2">
      <c r="A169" s="294">
        <f>A168+1</f>
        <v>129</v>
      </c>
      <c r="B169" s="257" t="s">
        <v>494</v>
      </c>
      <c r="C169" s="257" t="s">
        <v>471</v>
      </c>
      <c r="D169" s="305" t="s">
        <v>433</v>
      </c>
      <c r="E169" s="305">
        <v>182</v>
      </c>
      <c r="F169" s="305">
        <v>2</v>
      </c>
      <c r="G169" s="254">
        <f>F169*E169</f>
        <v>364</v>
      </c>
      <c r="H169" s="254"/>
      <c r="I169" s="299">
        <v>2.89</v>
      </c>
      <c r="J169" s="300">
        <v>1.9442999999999999</v>
      </c>
      <c r="K169" s="299">
        <f>ROUND(I169*J169,2)</f>
        <v>5.62</v>
      </c>
      <c r="L169" s="301">
        <f>ROUND(K169*G169,2)</f>
        <v>2045.68</v>
      </c>
      <c r="M169" s="154">
        <f>ROUND(L169*0.2,2)</f>
        <v>409.14</v>
      </c>
      <c r="N169" s="73">
        <f>ROUND(M169+L169,2)</f>
        <v>2454.8200000000002</v>
      </c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9"/>
      <c r="AA169" s="18"/>
      <c r="AB169" s="22"/>
      <c r="AC169" s="22"/>
      <c r="AD169" s="22"/>
    </row>
    <row r="170" spans="1:30" s="20" customFormat="1" ht="30" hidden="1" customHeight="1" x14ac:dyDescent="0.2">
      <c r="A170" s="294"/>
      <c r="B170" s="257"/>
      <c r="C170" s="224" t="s">
        <v>12</v>
      </c>
      <c r="D170" s="305"/>
      <c r="E170" s="305"/>
      <c r="F170" s="305"/>
      <c r="G170" s="254"/>
      <c r="H170" s="254"/>
      <c r="I170" s="299"/>
      <c r="J170" s="300"/>
      <c r="K170" s="299"/>
      <c r="L170" s="301"/>
      <c r="M170" s="154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64"/>
      <c r="Z170" s="9"/>
      <c r="AA170" s="18"/>
      <c r="AB170" s="22"/>
      <c r="AC170" s="22"/>
      <c r="AD170" s="22"/>
    </row>
    <row r="171" spans="1:30" s="20" customFormat="1" ht="76.5" hidden="1" x14ac:dyDescent="0.2">
      <c r="A171" s="294">
        <f>A169+1</f>
        <v>130</v>
      </c>
      <c r="B171" s="257" t="s">
        <v>192</v>
      </c>
      <c r="C171" s="257" t="s">
        <v>119</v>
      </c>
      <c r="D171" s="305" t="s">
        <v>432</v>
      </c>
      <c r="E171" s="305">
        <v>1.7000000000000001E-2</v>
      </c>
      <c r="F171" s="305">
        <v>3</v>
      </c>
      <c r="G171" s="254">
        <f>F171*E171</f>
        <v>5.1000000000000004E-2</v>
      </c>
      <c r="H171" s="254"/>
      <c r="I171" s="299">
        <v>7314.22</v>
      </c>
      <c r="J171" s="300">
        <v>1.9442999999999999</v>
      </c>
      <c r="K171" s="299">
        <f>ROUND(I171*J171,2)</f>
        <v>14221.04</v>
      </c>
      <c r="L171" s="301">
        <f>ROUND(K171*G171,2)</f>
        <v>725.27</v>
      </c>
      <c r="M171" s="154">
        <f>ROUND(L171*0.2,2)</f>
        <v>145.05000000000001</v>
      </c>
      <c r="N171" s="73">
        <f>ROUND(M171+L171,2)</f>
        <v>870.32</v>
      </c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143"/>
      <c r="Z171" s="9"/>
      <c r="AA171" s="18"/>
      <c r="AB171" s="22"/>
      <c r="AC171" s="22"/>
      <c r="AD171" s="22"/>
    </row>
    <row r="172" spans="1:30" s="20" customFormat="1" ht="76.5" hidden="1" x14ac:dyDescent="0.2">
      <c r="A172" s="294">
        <f>A171+1</f>
        <v>131</v>
      </c>
      <c r="B172" s="257" t="s">
        <v>193</v>
      </c>
      <c r="C172" s="257" t="s">
        <v>120</v>
      </c>
      <c r="D172" s="305" t="s">
        <v>433</v>
      </c>
      <c r="E172" s="305">
        <v>182</v>
      </c>
      <c r="F172" s="305">
        <v>3</v>
      </c>
      <c r="G172" s="254">
        <f>F172*E172</f>
        <v>546</v>
      </c>
      <c r="H172" s="254"/>
      <c r="I172" s="299">
        <v>1.99</v>
      </c>
      <c r="J172" s="300">
        <v>1.9442999999999999</v>
      </c>
      <c r="K172" s="299">
        <f>ROUND(I172*J172,2)</f>
        <v>3.87</v>
      </c>
      <c r="L172" s="301">
        <f>ROUND(K172*G172,2)</f>
        <v>2113.02</v>
      </c>
      <c r="M172" s="154">
        <f>ROUND(L172*0.2,2)</f>
        <v>422.6</v>
      </c>
      <c r="N172" s="73">
        <f>ROUND(M172+L172,2)</f>
        <v>2535.62</v>
      </c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171"/>
      <c r="Z172" s="9"/>
      <c r="AA172" s="18"/>
      <c r="AB172" s="22"/>
      <c r="AC172" s="22"/>
      <c r="AD172" s="22"/>
    </row>
    <row r="173" spans="1:30" s="20" customFormat="1" ht="38.25" hidden="1" x14ac:dyDescent="0.2">
      <c r="A173" s="294"/>
      <c r="B173" s="291"/>
      <c r="C173" s="228" t="s">
        <v>442</v>
      </c>
      <c r="D173" s="254"/>
      <c r="E173" s="254"/>
      <c r="F173" s="254"/>
      <c r="G173" s="254"/>
      <c r="H173" s="254"/>
      <c r="I173" s="299"/>
      <c r="J173" s="300"/>
      <c r="K173" s="299"/>
      <c r="L173" s="301"/>
      <c r="M173" s="154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171"/>
      <c r="Z173" s="9"/>
      <c r="AA173" s="18"/>
      <c r="AB173" s="22"/>
      <c r="AC173" s="22"/>
      <c r="AD173" s="22"/>
    </row>
    <row r="174" spans="1:30" s="20" customFormat="1" ht="76.5" hidden="1" x14ac:dyDescent="0.2">
      <c r="A174" s="294">
        <f>A172+1</f>
        <v>132</v>
      </c>
      <c r="B174" s="257" t="s">
        <v>194</v>
      </c>
      <c r="C174" s="257" t="s">
        <v>144</v>
      </c>
      <c r="D174" s="254" t="s">
        <v>422</v>
      </c>
      <c r="E174" s="254">
        <v>3</v>
      </c>
      <c r="F174" s="254">
        <v>2</v>
      </c>
      <c r="G174" s="254">
        <f t="shared" ref="G174:G180" si="55">F174*E174</f>
        <v>6</v>
      </c>
      <c r="H174" s="254"/>
      <c r="I174" s="299">
        <v>964.56</v>
      </c>
      <c r="J174" s="300">
        <v>1.9442999999999999</v>
      </c>
      <c r="K174" s="299">
        <f t="shared" ref="K174:K180" si="56">ROUND(I174*J174,2)</f>
        <v>1875.39</v>
      </c>
      <c r="L174" s="301">
        <f t="shared" ref="L174:L180" si="57">ROUND(K174*G174,2)</f>
        <v>11252.34</v>
      </c>
      <c r="M174" s="154">
        <f t="shared" si="45"/>
        <v>2250.4699999999998</v>
      </c>
      <c r="N174" s="73">
        <f t="shared" si="46"/>
        <v>13502.81</v>
      </c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64"/>
      <c r="Z174" s="9"/>
      <c r="AA174" s="18"/>
      <c r="AB174" s="22"/>
      <c r="AC174" s="22"/>
      <c r="AD174" s="22"/>
    </row>
    <row r="175" spans="1:30" s="20" customFormat="1" ht="63.75" hidden="1" x14ac:dyDescent="0.2">
      <c r="A175" s="294">
        <f t="shared" ref="A175:A180" si="58">A174+1</f>
        <v>133</v>
      </c>
      <c r="B175" s="310" t="s">
        <v>412</v>
      </c>
      <c r="C175" s="257" t="s">
        <v>121</v>
      </c>
      <c r="D175" s="254" t="s">
        <v>422</v>
      </c>
      <c r="E175" s="254">
        <v>2</v>
      </c>
      <c r="F175" s="254">
        <v>6</v>
      </c>
      <c r="G175" s="254">
        <f t="shared" si="55"/>
        <v>12</v>
      </c>
      <c r="H175" s="254"/>
      <c r="I175" s="299">
        <v>130.31</v>
      </c>
      <c r="J175" s="300">
        <v>9.86</v>
      </c>
      <c r="K175" s="299">
        <f t="shared" si="56"/>
        <v>1284.8599999999999</v>
      </c>
      <c r="L175" s="301">
        <f t="shared" si="57"/>
        <v>15418.32</v>
      </c>
      <c r="M175" s="154">
        <f t="shared" si="45"/>
        <v>3083.66</v>
      </c>
      <c r="N175" s="73">
        <f t="shared" si="46"/>
        <v>18501.98</v>
      </c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64"/>
      <c r="Z175" s="9"/>
      <c r="AA175" s="18"/>
      <c r="AB175" s="22"/>
      <c r="AC175" s="22"/>
      <c r="AD175" s="22"/>
    </row>
    <row r="176" spans="1:30" s="20" customFormat="1" ht="63.75" hidden="1" x14ac:dyDescent="0.2">
      <c r="A176" s="294">
        <f t="shared" si="58"/>
        <v>134</v>
      </c>
      <c r="B176" s="310" t="s">
        <v>413</v>
      </c>
      <c r="C176" s="257" t="s">
        <v>423</v>
      </c>
      <c r="D176" s="254" t="s">
        <v>422</v>
      </c>
      <c r="E176" s="254">
        <v>2</v>
      </c>
      <c r="F176" s="254">
        <v>6</v>
      </c>
      <c r="G176" s="254">
        <f t="shared" si="55"/>
        <v>12</v>
      </c>
      <c r="H176" s="254"/>
      <c r="I176" s="299">
        <v>18.62</v>
      </c>
      <c r="J176" s="300">
        <v>9.86</v>
      </c>
      <c r="K176" s="299">
        <f t="shared" si="56"/>
        <v>183.59</v>
      </c>
      <c r="L176" s="301">
        <f t="shared" si="57"/>
        <v>2203.08</v>
      </c>
      <c r="M176" s="154">
        <f t="shared" si="45"/>
        <v>440.62</v>
      </c>
      <c r="N176" s="73">
        <f t="shared" si="46"/>
        <v>2643.7</v>
      </c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64"/>
      <c r="Z176" s="9"/>
      <c r="AA176" s="18"/>
      <c r="AB176" s="22"/>
      <c r="AC176" s="22"/>
      <c r="AD176" s="22"/>
    </row>
    <row r="177" spans="1:30" s="20" customFormat="1" ht="63.75" hidden="1" x14ac:dyDescent="0.2">
      <c r="A177" s="294">
        <f t="shared" si="58"/>
        <v>135</v>
      </c>
      <c r="B177" s="310" t="s">
        <v>414</v>
      </c>
      <c r="C177" s="257" t="s">
        <v>424</v>
      </c>
      <c r="D177" s="254" t="s">
        <v>422</v>
      </c>
      <c r="E177" s="254">
        <v>1</v>
      </c>
      <c r="F177" s="254">
        <v>2</v>
      </c>
      <c r="G177" s="254">
        <f t="shared" si="55"/>
        <v>2</v>
      </c>
      <c r="H177" s="254"/>
      <c r="I177" s="299">
        <v>161.86000000000001</v>
      </c>
      <c r="J177" s="300">
        <v>9.86</v>
      </c>
      <c r="K177" s="299">
        <f t="shared" si="56"/>
        <v>1595.94</v>
      </c>
      <c r="L177" s="301">
        <f t="shared" si="57"/>
        <v>3191.88</v>
      </c>
      <c r="M177" s="154">
        <f t="shared" si="45"/>
        <v>638.38</v>
      </c>
      <c r="N177" s="73">
        <f t="shared" si="46"/>
        <v>3830.26</v>
      </c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64"/>
      <c r="Z177" s="9"/>
      <c r="AA177" s="18"/>
      <c r="AB177" s="22"/>
      <c r="AC177" s="22"/>
      <c r="AD177" s="22"/>
    </row>
    <row r="178" spans="1:30" s="20" customFormat="1" ht="63.75" hidden="1" x14ac:dyDescent="0.2">
      <c r="A178" s="294">
        <f t="shared" si="58"/>
        <v>136</v>
      </c>
      <c r="B178" s="310" t="s">
        <v>415</v>
      </c>
      <c r="C178" s="257" t="s">
        <v>122</v>
      </c>
      <c r="D178" s="254" t="s">
        <v>422</v>
      </c>
      <c r="E178" s="254">
        <v>1</v>
      </c>
      <c r="F178" s="254">
        <v>2</v>
      </c>
      <c r="G178" s="254">
        <f t="shared" si="55"/>
        <v>2</v>
      </c>
      <c r="H178" s="254"/>
      <c r="I178" s="299">
        <v>501.73</v>
      </c>
      <c r="J178" s="300">
        <v>9.86</v>
      </c>
      <c r="K178" s="299">
        <f t="shared" si="56"/>
        <v>4947.0600000000004</v>
      </c>
      <c r="L178" s="301">
        <f t="shared" si="57"/>
        <v>9894.1200000000008</v>
      </c>
      <c r="M178" s="154">
        <f t="shared" si="45"/>
        <v>1978.82</v>
      </c>
      <c r="N178" s="73">
        <f t="shared" si="46"/>
        <v>11872.94</v>
      </c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64"/>
      <c r="Z178" s="9"/>
      <c r="AA178" s="18"/>
      <c r="AB178" s="22"/>
      <c r="AC178" s="22"/>
      <c r="AD178" s="22"/>
    </row>
    <row r="179" spans="1:30" s="20" customFormat="1" ht="63.75" hidden="1" x14ac:dyDescent="0.2">
      <c r="A179" s="294">
        <f t="shared" si="58"/>
        <v>137</v>
      </c>
      <c r="B179" s="310" t="s">
        <v>416</v>
      </c>
      <c r="C179" s="257" t="s">
        <v>123</v>
      </c>
      <c r="D179" s="254" t="s">
        <v>422</v>
      </c>
      <c r="E179" s="254">
        <v>2</v>
      </c>
      <c r="F179" s="254">
        <v>6</v>
      </c>
      <c r="G179" s="254">
        <f t="shared" si="55"/>
        <v>12</v>
      </c>
      <c r="H179" s="254"/>
      <c r="I179" s="299">
        <v>135.63999999999999</v>
      </c>
      <c r="J179" s="300">
        <v>9.86</v>
      </c>
      <c r="K179" s="299">
        <f t="shared" si="56"/>
        <v>1337.41</v>
      </c>
      <c r="L179" s="301">
        <f t="shared" si="57"/>
        <v>16048.92</v>
      </c>
      <c r="M179" s="154">
        <f t="shared" si="45"/>
        <v>3209.78</v>
      </c>
      <c r="N179" s="73">
        <f t="shared" si="46"/>
        <v>19258.7</v>
      </c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9"/>
      <c r="AA179" s="18"/>
      <c r="AB179" s="22"/>
      <c r="AC179" s="22"/>
      <c r="AD179" s="22"/>
    </row>
    <row r="180" spans="1:30" s="20" customFormat="1" ht="56.25" hidden="1" customHeight="1" x14ac:dyDescent="0.2">
      <c r="A180" s="294">
        <f t="shared" si="58"/>
        <v>138</v>
      </c>
      <c r="B180" s="257" t="s">
        <v>341</v>
      </c>
      <c r="C180" s="257" t="s">
        <v>124</v>
      </c>
      <c r="D180" s="254" t="s">
        <v>429</v>
      </c>
      <c r="E180" s="254">
        <v>1442</v>
      </c>
      <c r="F180" s="254">
        <v>1</v>
      </c>
      <c r="G180" s="254">
        <f t="shared" si="55"/>
        <v>1442</v>
      </c>
      <c r="H180" s="254"/>
      <c r="I180" s="299">
        <v>7.1</v>
      </c>
      <c r="J180" s="254">
        <v>1.1140000000000001</v>
      </c>
      <c r="K180" s="299">
        <f t="shared" si="56"/>
        <v>7.91</v>
      </c>
      <c r="L180" s="301">
        <f t="shared" si="57"/>
        <v>11406.22</v>
      </c>
      <c r="M180" s="154">
        <f t="shared" si="45"/>
        <v>2281.2399999999998</v>
      </c>
      <c r="N180" s="73">
        <f t="shared" si="46"/>
        <v>13687.46</v>
      </c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64"/>
      <c r="Z180" s="9"/>
      <c r="AA180" s="18"/>
      <c r="AB180" s="22"/>
      <c r="AC180" s="22"/>
      <c r="AD180" s="22"/>
    </row>
    <row r="181" spans="1:30" s="20" customFormat="1" ht="63.75" hidden="1" x14ac:dyDescent="0.2">
      <c r="A181" s="294"/>
      <c r="B181" s="291"/>
      <c r="C181" s="228" t="s">
        <v>14</v>
      </c>
      <c r="D181" s="229"/>
      <c r="E181" s="229"/>
      <c r="F181" s="229"/>
      <c r="G181" s="229"/>
      <c r="H181" s="254"/>
      <c r="I181" s="299"/>
      <c r="J181" s="254"/>
      <c r="K181" s="299"/>
      <c r="L181" s="301"/>
      <c r="M181" s="154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64"/>
      <c r="Z181" s="9"/>
      <c r="AA181" s="18"/>
      <c r="AB181" s="22"/>
      <c r="AC181" s="22"/>
      <c r="AD181" s="22"/>
    </row>
    <row r="182" spans="1:30" s="20" customFormat="1" ht="12.75" hidden="1" x14ac:dyDescent="0.2">
      <c r="A182" s="294"/>
      <c r="B182" s="291"/>
      <c r="C182" s="230" t="s">
        <v>441</v>
      </c>
      <c r="D182" s="254"/>
      <c r="E182" s="254"/>
      <c r="F182" s="254"/>
      <c r="G182" s="254"/>
      <c r="H182" s="254"/>
      <c r="I182" s="299"/>
      <c r="J182" s="254"/>
      <c r="K182" s="299"/>
      <c r="L182" s="301"/>
      <c r="M182" s="154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8"/>
      <c r="Z182" s="9"/>
      <c r="AA182" s="18"/>
      <c r="AB182" s="22"/>
      <c r="AC182" s="22"/>
      <c r="AD182" s="22"/>
    </row>
    <row r="183" spans="1:30" s="20" customFormat="1" ht="76.5" hidden="1" x14ac:dyDescent="0.2">
      <c r="A183" s="294">
        <f>A180+1</f>
        <v>139</v>
      </c>
      <c r="B183" s="291" t="s">
        <v>151</v>
      </c>
      <c r="C183" s="257" t="s">
        <v>116</v>
      </c>
      <c r="D183" s="254" t="s">
        <v>118</v>
      </c>
      <c r="E183" s="254">
        <v>1.26</v>
      </c>
      <c r="F183" s="254">
        <v>2</v>
      </c>
      <c r="G183" s="254">
        <f>F183*E183</f>
        <v>2.52</v>
      </c>
      <c r="H183" s="254"/>
      <c r="I183" s="299">
        <v>44.32</v>
      </c>
      <c r="J183" s="300">
        <v>1.9442999999999999</v>
      </c>
      <c r="K183" s="299">
        <f>ROUND(I183*J183,2)</f>
        <v>86.17</v>
      </c>
      <c r="L183" s="301">
        <f>ROUND(K183*G183,2)</f>
        <v>217.15</v>
      </c>
      <c r="M183" s="154">
        <f t="shared" si="45"/>
        <v>43.43</v>
      </c>
      <c r="N183" s="73">
        <f t="shared" si="46"/>
        <v>260.58</v>
      </c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64"/>
      <c r="Z183" s="9"/>
      <c r="AA183" s="18"/>
      <c r="AB183" s="22"/>
      <c r="AC183" s="22"/>
      <c r="AD183" s="22"/>
    </row>
    <row r="184" spans="1:30" s="20" customFormat="1" ht="76.5" hidden="1" x14ac:dyDescent="0.2">
      <c r="A184" s="294">
        <f>A183+1</f>
        <v>140</v>
      </c>
      <c r="B184" s="291" t="s">
        <v>191</v>
      </c>
      <c r="C184" s="257" t="s">
        <v>117</v>
      </c>
      <c r="D184" s="254" t="s">
        <v>432</v>
      </c>
      <c r="E184" s="254">
        <v>0.222</v>
      </c>
      <c r="F184" s="254">
        <v>3</v>
      </c>
      <c r="G184" s="254">
        <f>F184*E184</f>
        <v>0.66600000000000004</v>
      </c>
      <c r="H184" s="254"/>
      <c r="I184" s="299">
        <v>4728.2</v>
      </c>
      <c r="J184" s="300">
        <v>1.9442999999999999</v>
      </c>
      <c r="K184" s="299">
        <f>ROUND(I184*J184,2)</f>
        <v>9193.0400000000009</v>
      </c>
      <c r="L184" s="301">
        <f>ROUND(K184*G184,2)</f>
        <v>6122.56</v>
      </c>
      <c r="M184" s="154">
        <f t="shared" si="45"/>
        <v>1224.51</v>
      </c>
      <c r="N184" s="73">
        <f t="shared" si="46"/>
        <v>7347.07</v>
      </c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64"/>
      <c r="Z184" s="9"/>
      <c r="AA184" s="18"/>
      <c r="AB184" s="22"/>
      <c r="AC184" s="22"/>
      <c r="AD184" s="22"/>
    </row>
    <row r="185" spans="1:30" s="20" customFormat="1" ht="51" hidden="1" x14ac:dyDescent="0.2">
      <c r="A185" s="294">
        <f>A184+1</f>
        <v>141</v>
      </c>
      <c r="B185" s="257" t="s">
        <v>492</v>
      </c>
      <c r="C185" s="257" t="s">
        <v>493</v>
      </c>
      <c r="D185" s="305" t="s">
        <v>433</v>
      </c>
      <c r="E185" s="305">
        <v>126</v>
      </c>
      <c r="F185" s="305">
        <v>1</v>
      </c>
      <c r="G185" s="305">
        <f>F185*E185</f>
        <v>126</v>
      </c>
      <c r="H185" s="254"/>
      <c r="I185" s="299">
        <v>83.24</v>
      </c>
      <c r="J185" s="300">
        <v>1.9442999999999999</v>
      </c>
      <c r="K185" s="299">
        <f>ROUND(I185*J185,2)</f>
        <v>161.84</v>
      </c>
      <c r="L185" s="301">
        <f>ROUND(K185*G185,2)</f>
        <v>20391.84</v>
      </c>
      <c r="M185" s="154">
        <f>ROUND(L185*0.2,2)</f>
        <v>4078.37</v>
      </c>
      <c r="N185" s="73">
        <f>ROUND(M185+L185,2)</f>
        <v>24470.21</v>
      </c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64"/>
      <c r="Z185" s="9"/>
      <c r="AA185" s="18"/>
      <c r="AB185" s="22"/>
      <c r="AC185" s="22"/>
      <c r="AD185" s="22"/>
    </row>
    <row r="186" spans="1:30" s="20" customFormat="1" ht="51" hidden="1" x14ac:dyDescent="0.2">
      <c r="A186" s="294">
        <f>A185+1</f>
        <v>142</v>
      </c>
      <c r="B186" s="257" t="s">
        <v>494</v>
      </c>
      <c r="C186" s="257" t="s">
        <v>471</v>
      </c>
      <c r="D186" s="305" t="s">
        <v>433</v>
      </c>
      <c r="E186" s="305">
        <f>E185</f>
        <v>126</v>
      </c>
      <c r="F186" s="305">
        <v>2</v>
      </c>
      <c r="G186" s="305">
        <f>F186*E186</f>
        <v>252</v>
      </c>
      <c r="H186" s="254"/>
      <c r="I186" s="299">
        <v>2.89</v>
      </c>
      <c r="J186" s="300">
        <v>1.9442999999999999</v>
      </c>
      <c r="K186" s="299">
        <f>ROUND(I186*J186,2)</f>
        <v>5.62</v>
      </c>
      <c r="L186" s="301">
        <f>ROUND(K186*G186,2)</f>
        <v>1416.24</v>
      </c>
      <c r="M186" s="154">
        <f>ROUND(L186*0.2,2)</f>
        <v>283.25</v>
      </c>
      <c r="N186" s="73">
        <f>ROUND(M186+L186,2)</f>
        <v>1699.49</v>
      </c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9"/>
      <c r="AA186" s="18"/>
      <c r="AB186" s="22"/>
      <c r="AC186" s="22"/>
      <c r="AD186" s="22"/>
    </row>
    <row r="187" spans="1:30" s="20" customFormat="1" ht="12.75" hidden="1" x14ac:dyDescent="0.2">
      <c r="A187" s="294"/>
      <c r="B187" s="257"/>
      <c r="C187" s="228" t="s">
        <v>530</v>
      </c>
      <c r="D187" s="305"/>
      <c r="E187" s="305"/>
      <c r="F187" s="305"/>
      <c r="G187" s="305"/>
      <c r="H187" s="254"/>
      <c r="I187" s="299"/>
      <c r="J187" s="300"/>
      <c r="K187" s="299"/>
      <c r="L187" s="301"/>
      <c r="M187" s="154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64"/>
      <c r="Z187" s="9"/>
      <c r="AA187" s="18"/>
      <c r="AB187" s="22"/>
      <c r="AC187" s="22"/>
      <c r="AD187" s="22"/>
    </row>
    <row r="188" spans="1:30" s="20" customFormat="1" ht="76.5" hidden="1" x14ac:dyDescent="0.2">
      <c r="A188" s="294">
        <f>A186+1</f>
        <v>143</v>
      </c>
      <c r="B188" s="257" t="s">
        <v>192</v>
      </c>
      <c r="C188" s="257" t="s">
        <v>119</v>
      </c>
      <c r="D188" s="305" t="s">
        <v>432</v>
      </c>
      <c r="E188" s="305">
        <v>0.222</v>
      </c>
      <c r="F188" s="305">
        <v>3</v>
      </c>
      <c r="G188" s="305">
        <f>F188*E188</f>
        <v>0.66600000000000004</v>
      </c>
      <c r="H188" s="254"/>
      <c r="I188" s="299">
        <v>7314.22</v>
      </c>
      <c r="J188" s="300">
        <v>1.9442999999999999</v>
      </c>
      <c r="K188" s="299">
        <f>ROUND(I188*J188,2)</f>
        <v>14221.04</v>
      </c>
      <c r="L188" s="301">
        <f>ROUND(K188*G188,2)</f>
        <v>9471.2099999999991</v>
      </c>
      <c r="M188" s="154">
        <f>ROUND(L188*0.2,2)</f>
        <v>1894.24</v>
      </c>
      <c r="N188" s="73">
        <f>ROUND(M188+L188,2)</f>
        <v>11365.45</v>
      </c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143"/>
      <c r="Z188" s="9"/>
      <c r="AA188" s="18"/>
      <c r="AB188" s="22"/>
      <c r="AC188" s="22"/>
      <c r="AD188" s="22"/>
    </row>
    <row r="189" spans="1:30" s="20" customFormat="1" ht="76.5" hidden="1" x14ac:dyDescent="0.2">
      <c r="A189" s="294">
        <f>A188+1</f>
        <v>144</v>
      </c>
      <c r="B189" s="257" t="s">
        <v>193</v>
      </c>
      <c r="C189" s="257" t="s">
        <v>120</v>
      </c>
      <c r="D189" s="305" t="s">
        <v>433</v>
      </c>
      <c r="E189" s="305">
        <v>126</v>
      </c>
      <c r="F189" s="305">
        <v>3</v>
      </c>
      <c r="G189" s="305">
        <f>F189*E189</f>
        <v>378</v>
      </c>
      <c r="H189" s="254"/>
      <c r="I189" s="299">
        <v>1.99</v>
      </c>
      <c r="J189" s="300">
        <v>1.9442999999999999</v>
      </c>
      <c r="K189" s="299">
        <f>ROUND(I189*J189,2)</f>
        <v>3.87</v>
      </c>
      <c r="L189" s="301">
        <f>ROUND(K189*G189,2)</f>
        <v>1462.86</v>
      </c>
      <c r="M189" s="154">
        <f>ROUND(L189*0.2,2)</f>
        <v>292.57</v>
      </c>
      <c r="N189" s="73">
        <f>ROUND(M189+L189,2)</f>
        <v>1755.43</v>
      </c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171"/>
      <c r="Z189" s="9"/>
      <c r="AA189" s="18"/>
      <c r="AB189" s="22"/>
      <c r="AC189" s="22"/>
      <c r="AD189" s="22"/>
    </row>
    <row r="190" spans="1:30" s="20" customFormat="1" ht="38.25" hidden="1" x14ac:dyDescent="0.2">
      <c r="A190" s="294"/>
      <c r="B190" s="257"/>
      <c r="C190" s="230" t="s">
        <v>442</v>
      </c>
      <c r="D190" s="254"/>
      <c r="E190" s="254"/>
      <c r="F190" s="254"/>
      <c r="G190" s="254"/>
      <c r="H190" s="254"/>
      <c r="I190" s="299"/>
      <c r="J190" s="300"/>
      <c r="K190" s="299"/>
      <c r="L190" s="301"/>
      <c r="M190" s="154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171"/>
      <c r="Z190" s="9"/>
      <c r="AA190" s="18"/>
      <c r="AB190" s="22"/>
      <c r="AC190" s="22"/>
      <c r="AD190" s="22"/>
    </row>
    <row r="191" spans="1:30" s="20" customFormat="1" ht="76.5" hidden="1" x14ac:dyDescent="0.2">
      <c r="A191" s="294">
        <f>A189+1</f>
        <v>145</v>
      </c>
      <c r="B191" s="257" t="s">
        <v>194</v>
      </c>
      <c r="C191" s="257" t="s">
        <v>144</v>
      </c>
      <c r="D191" s="254" t="s">
        <v>422</v>
      </c>
      <c r="E191" s="254">
        <v>3</v>
      </c>
      <c r="F191" s="254">
        <v>2</v>
      </c>
      <c r="G191" s="254">
        <f t="shared" ref="G191:G197" si="59">F191*E191</f>
        <v>6</v>
      </c>
      <c r="H191" s="254"/>
      <c r="I191" s="299">
        <v>964.56</v>
      </c>
      <c r="J191" s="300">
        <v>1.9442999999999999</v>
      </c>
      <c r="K191" s="299">
        <f t="shared" ref="K191:K197" si="60">ROUND(I191*J191,2)</f>
        <v>1875.39</v>
      </c>
      <c r="L191" s="301">
        <f t="shared" ref="L191:L197" si="61">ROUND(K191*G191,2)</f>
        <v>11252.34</v>
      </c>
      <c r="M191" s="154">
        <f t="shared" si="45"/>
        <v>2250.4699999999998</v>
      </c>
      <c r="N191" s="73">
        <f t="shared" si="46"/>
        <v>13502.81</v>
      </c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64"/>
      <c r="Z191" s="9"/>
      <c r="AA191" s="18"/>
      <c r="AB191" s="22"/>
      <c r="AC191" s="22"/>
      <c r="AD191" s="22"/>
    </row>
    <row r="192" spans="1:30" s="20" customFormat="1" ht="63.75" hidden="1" x14ac:dyDescent="0.2">
      <c r="A192" s="294">
        <f t="shared" ref="A192:A197" si="62">A191+1</f>
        <v>146</v>
      </c>
      <c r="B192" s="310" t="s">
        <v>412</v>
      </c>
      <c r="C192" s="257" t="s">
        <v>121</v>
      </c>
      <c r="D192" s="254" t="s">
        <v>422</v>
      </c>
      <c r="E192" s="254">
        <v>2</v>
      </c>
      <c r="F192" s="254">
        <v>6</v>
      </c>
      <c r="G192" s="254">
        <f t="shared" si="59"/>
        <v>12</v>
      </c>
      <c r="H192" s="254"/>
      <c r="I192" s="299">
        <v>130.31</v>
      </c>
      <c r="J192" s="300">
        <v>9.86</v>
      </c>
      <c r="K192" s="299">
        <f t="shared" si="60"/>
        <v>1284.8599999999999</v>
      </c>
      <c r="L192" s="301">
        <f t="shared" si="61"/>
        <v>15418.32</v>
      </c>
      <c r="M192" s="154">
        <f t="shared" si="45"/>
        <v>3083.66</v>
      </c>
      <c r="N192" s="73">
        <f t="shared" si="46"/>
        <v>18501.98</v>
      </c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64"/>
      <c r="Z192" s="9"/>
      <c r="AA192" s="18"/>
      <c r="AB192" s="22"/>
      <c r="AC192" s="22"/>
      <c r="AD192" s="22"/>
    </row>
    <row r="193" spans="1:30" s="20" customFormat="1" ht="63.75" hidden="1" x14ac:dyDescent="0.2">
      <c r="A193" s="294">
        <f t="shared" si="62"/>
        <v>147</v>
      </c>
      <c r="B193" s="310" t="s">
        <v>413</v>
      </c>
      <c r="C193" s="257" t="s">
        <v>423</v>
      </c>
      <c r="D193" s="254" t="s">
        <v>422</v>
      </c>
      <c r="E193" s="254">
        <v>2</v>
      </c>
      <c r="F193" s="254">
        <v>6</v>
      </c>
      <c r="G193" s="254">
        <f t="shared" si="59"/>
        <v>12</v>
      </c>
      <c r="H193" s="254"/>
      <c r="I193" s="299">
        <v>18.62</v>
      </c>
      <c r="J193" s="300">
        <v>9.86</v>
      </c>
      <c r="K193" s="299">
        <f t="shared" si="60"/>
        <v>183.59</v>
      </c>
      <c r="L193" s="301">
        <f t="shared" si="61"/>
        <v>2203.08</v>
      </c>
      <c r="M193" s="154">
        <f t="shared" si="45"/>
        <v>440.62</v>
      </c>
      <c r="N193" s="73">
        <f t="shared" si="46"/>
        <v>2643.7</v>
      </c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64"/>
      <c r="Z193" s="9"/>
      <c r="AA193" s="18"/>
      <c r="AB193" s="22"/>
      <c r="AC193" s="22"/>
      <c r="AD193" s="22"/>
    </row>
    <row r="194" spans="1:30" s="20" customFormat="1" ht="63.75" hidden="1" x14ac:dyDescent="0.2">
      <c r="A194" s="294">
        <f t="shared" si="62"/>
        <v>148</v>
      </c>
      <c r="B194" s="310" t="s">
        <v>414</v>
      </c>
      <c r="C194" s="257" t="s">
        <v>424</v>
      </c>
      <c r="D194" s="254" t="s">
        <v>422</v>
      </c>
      <c r="E194" s="254">
        <v>1</v>
      </c>
      <c r="F194" s="254">
        <v>2</v>
      </c>
      <c r="G194" s="254">
        <f t="shared" si="59"/>
        <v>2</v>
      </c>
      <c r="H194" s="254"/>
      <c r="I194" s="299">
        <v>161.86000000000001</v>
      </c>
      <c r="J194" s="300">
        <v>9.86</v>
      </c>
      <c r="K194" s="299">
        <f t="shared" si="60"/>
        <v>1595.94</v>
      </c>
      <c r="L194" s="301">
        <f t="shared" si="61"/>
        <v>3191.88</v>
      </c>
      <c r="M194" s="154">
        <f t="shared" si="45"/>
        <v>638.38</v>
      </c>
      <c r="N194" s="73">
        <f t="shared" si="46"/>
        <v>3830.26</v>
      </c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64"/>
      <c r="Z194" s="9"/>
      <c r="AA194" s="18"/>
      <c r="AB194" s="22"/>
      <c r="AC194" s="22"/>
      <c r="AD194" s="22"/>
    </row>
    <row r="195" spans="1:30" s="20" customFormat="1" ht="63.75" hidden="1" x14ac:dyDescent="0.2">
      <c r="A195" s="294">
        <f t="shared" si="62"/>
        <v>149</v>
      </c>
      <c r="B195" s="310" t="s">
        <v>415</v>
      </c>
      <c r="C195" s="257" t="s">
        <v>122</v>
      </c>
      <c r="D195" s="254" t="s">
        <v>422</v>
      </c>
      <c r="E195" s="254">
        <v>1</v>
      </c>
      <c r="F195" s="254">
        <v>2</v>
      </c>
      <c r="G195" s="254">
        <f t="shared" si="59"/>
        <v>2</v>
      </c>
      <c r="H195" s="254"/>
      <c r="I195" s="299">
        <v>501.73</v>
      </c>
      <c r="J195" s="300">
        <v>9.86</v>
      </c>
      <c r="K195" s="299">
        <f t="shared" si="60"/>
        <v>4947.0600000000004</v>
      </c>
      <c r="L195" s="301">
        <f t="shared" si="61"/>
        <v>9894.1200000000008</v>
      </c>
      <c r="M195" s="154">
        <f t="shared" si="45"/>
        <v>1978.82</v>
      </c>
      <c r="N195" s="73">
        <f t="shared" si="46"/>
        <v>11872.94</v>
      </c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64"/>
      <c r="Z195" s="9"/>
      <c r="AA195" s="18"/>
      <c r="AB195" s="22"/>
      <c r="AC195" s="22"/>
      <c r="AD195" s="22"/>
    </row>
    <row r="196" spans="1:30" s="20" customFormat="1" ht="63.75" hidden="1" x14ac:dyDescent="0.2">
      <c r="A196" s="294">
        <f t="shared" si="62"/>
        <v>150</v>
      </c>
      <c r="B196" s="310" t="s">
        <v>416</v>
      </c>
      <c r="C196" s="257" t="s">
        <v>123</v>
      </c>
      <c r="D196" s="254" t="s">
        <v>422</v>
      </c>
      <c r="E196" s="254">
        <v>2</v>
      </c>
      <c r="F196" s="254">
        <v>6</v>
      </c>
      <c r="G196" s="254">
        <f t="shared" si="59"/>
        <v>12</v>
      </c>
      <c r="H196" s="254"/>
      <c r="I196" s="299">
        <v>135.63999999999999</v>
      </c>
      <c r="J196" s="300">
        <v>9.86</v>
      </c>
      <c r="K196" s="299">
        <f t="shared" si="60"/>
        <v>1337.41</v>
      </c>
      <c r="L196" s="301">
        <f t="shared" si="61"/>
        <v>16048.92</v>
      </c>
      <c r="M196" s="154">
        <f t="shared" si="45"/>
        <v>3209.78</v>
      </c>
      <c r="N196" s="73">
        <f t="shared" si="46"/>
        <v>19258.7</v>
      </c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9"/>
      <c r="AA196" s="18"/>
      <c r="AB196" s="22"/>
      <c r="AC196" s="22"/>
      <c r="AD196" s="22"/>
    </row>
    <row r="197" spans="1:30" s="20" customFormat="1" ht="93" hidden="1" customHeight="1" x14ac:dyDescent="0.2">
      <c r="A197" s="294">
        <f t="shared" si="62"/>
        <v>151</v>
      </c>
      <c r="B197" s="257" t="s">
        <v>341</v>
      </c>
      <c r="C197" s="257" t="s">
        <v>124</v>
      </c>
      <c r="D197" s="254" t="s">
        <v>91</v>
      </c>
      <c r="E197" s="254">
        <v>1442</v>
      </c>
      <c r="F197" s="254">
        <v>1</v>
      </c>
      <c r="G197" s="254">
        <f t="shared" si="59"/>
        <v>1442</v>
      </c>
      <c r="H197" s="254"/>
      <c r="I197" s="299">
        <v>7.1</v>
      </c>
      <c r="J197" s="254">
        <v>1.1140000000000001</v>
      </c>
      <c r="K197" s="299">
        <f t="shared" si="60"/>
        <v>7.91</v>
      </c>
      <c r="L197" s="301">
        <f t="shared" si="61"/>
        <v>11406.22</v>
      </c>
      <c r="M197" s="154">
        <f>ROUND(L197*0.2,2)</f>
        <v>2281.2399999999998</v>
      </c>
      <c r="N197" s="73">
        <f t="shared" si="46"/>
        <v>13687.46</v>
      </c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64"/>
      <c r="Z197" s="9"/>
      <c r="AA197" s="18"/>
      <c r="AB197" s="22"/>
      <c r="AC197" s="22"/>
      <c r="AD197" s="22"/>
    </row>
    <row r="198" spans="1:30" s="20" customFormat="1" ht="25.5" hidden="1" x14ac:dyDescent="0.2">
      <c r="A198" s="294"/>
      <c r="B198" s="257"/>
      <c r="C198" s="228" t="s">
        <v>401</v>
      </c>
      <c r="D198" s="325"/>
      <c r="E198" s="325"/>
      <c r="F198" s="325"/>
      <c r="G198" s="325"/>
      <c r="H198" s="325"/>
      <c r="I198" s="325"/>
      <c r="J198" s="325"/>
      <c r="K198" s="325"/>
      <c r="L198" s="326"/>
      <c r="M198" s="154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171"/>
      <c r="Z198" s="9"/>
      <c r="AA198" s="18"/>
      <c r="AB198" s="22"/>
      <c r="AC198" s="22"/>
      <c r="AD198" s="22"/>
    </row>
    <row r="199" spans="1:30" s="20" customFormat="1" ht="25.5" hidden="1" x14ac:dyDescent="0.2">
      <c r="A199" s="294"/>
      <c r="B199" s="257"/>
      <c r="C199" s="228" t="s">
        <v>15</v>
      </c>
      <c r="D199" s="325"/>
      <c r="E199" s="325"/>
      <c r="F199" s="325"/>
      <c r="G199" s="325"/>
      <c r="H199" s="325"/>
      <c r="I199" s="325"/>
      <c r="J199" s="325"/>
      <c r="K199" s="325"/>
      <c r="L199" s="325"/>
      <c r="M199" s="154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131">
        <v>853837.12999999942</v>
      </c>
      <c r="Z199" s="9"/>
      <c r="AA199" s="18"/>
      <c r="AB199" s="22"/>
      <c r="AC199" s="22"/>
      <c r="AD199" s="22"/>
    </row>
    <row r="200" spans="1:30" s="20" customFormat="1" ht="39.75" hidden="1" customHeight="1" x14ac:dyDescent="0.2">
      <c r="A200" s="327">
        <f>A197+1</f>
        <v>152</v>
      </c>
      <c r="B200" s="328" t="s">
        <v>353</v>
      </c>
      <c r="C200" s="302" t="s">
        <v>405</v>
      </c>
      <c r="D200" s="303" t="s">
        <v>354</v>
      </c>
      <c r="E200" s="303">
        <v>0.17</v>
      </c>
      <c r="F200" s="254">
        <v>1</v>
      </c>
      <c r="G200" s="254">
        <f>F200*E200</f>
        <v>0.17</v>
      </c>
      <c r="H200" s="254"/>
      <c r="I200" s="299">
        <v>232.79166666666669</v>
      </c>
      <c r="J200" s="329">
        <v>12.811500000000001</v>
      </c>
      <c r="K200" s="309">
        <f>I200*J200</f>
        <v>2982.4104375000002</v>
      </c>
      <c r="L200" s="299">
        <f>ROUND(K200*G200,2)</f>
        <v>507.01</v>
      </c>
      <c r="M200" s="154">
        <f t="shared" si="45"/>
        <v>101.4</v>
      </c>
      <c r="N200" s="73">
        <f t="shared" ref="N200:N206" si="63">ROUND(M200+L200,2)</f>
        <v>608.41</v>
      </c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64"/>
      <c r="Z200" s="9"/>
      <c r="AA200" s="65"/>
      <c r="AB200" s="22"/>
      <c r="AC200" s="22"/>
      <c r="AD200" s="22"/>
    </row>
    <row r="201" spans="1:30" s="20" customFormat="1" ht="178.5" hidden="1" x14ac:dyDescent="0.2">
      <c r="A201" s="327">
        <f t="shared" ref="A201:A206" si="64">A200+1</f>
        <v>153</v>
      </c>
      <c r="B201" s="328" t="s">
        <v>352</v>
      </c>
      <c r="C201" s="302" t="s">
        <v>356</v>
      </c>
      <c r="D201" s="330" t="s">
        <v>355</v>
      </c>
      <c r="E201" s="330">
        <v>1.1050000000000001E-2</v>
      </c>
      <c r="F201" s="254">
        <v>1</v>
      </c>
      <c r="G201" s="254">
        <f t="shared" ref="G201:G210" si="65">F201*E201</f>
        <v>1.1050000000000001E-2</v>
      </c>
      <c r="H201" s="254"/>
      <c r="I201" s="299">
        <v>16413.416666666668</v>
      </c>
      <c r="J201" s="329">
        <v>12.811500000000001</v>
      </c>
      <c r="K201" s="309">
        <f>I201*J201</f>
        <v>210280.48762500004</v>
      </c>
      <c r="L201" s="299">
        <f>ROUND(K201*G201,2)</f>
        <v>2323.6</v>
      </c>
      <c r="M201" s="154">
        <f t="shared" si="45"/>
        <v>464.72</v>
      </c>
      <c r="N201" s="73">
        <f t="shared" si="63"/>
        <v>2788.32</v>
      </c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64"/>
      <c r="Z201" s="9"/>
      <c r="AA201" s="65"/>
      <c r="AB201" s="26">
        <v>0.65</v>
      </c>
      <c r="AC201" s="26"/>
      <c r="AD201" s="26"/>
    </row>
    <row r="202" spans="1:30" s="20" customFormat="1" ht="178.5" hidden="1" x14ac:dyDescent="0.2">
      <c r="A202" s="327">
        <f t="shared" si="64"/>
        <v>154</v>
      </c>
      <c r="B202" s="328" t="s">
        <v>347</v>
      </c>
      <c r="C202" s="302" t="s">
        <v>357</v>
      </c>
      <c r="D202" s="303" t="s">
        <v>355</v>
      </c>
      <c r="E202" s="331">
        <v>4.2500000000000003E-3</v>
      </c>
      <c r="F202" s="254">
        <v>1</v>
      </c>
      <c r="G202" s="254">
        <f t="shared" si="65"/>
        <v>4.2500000000000003E-3</v>
      </c>
      <c r="H202" s="254"/>
      <c r="I202" s="299">
        <v>364.85</v>
      </c>
      <c r="J202" s="329">
        <v>12.811500000000001</v>
      </c>
      <c r="K202" s="309">
        <f t="shared" ref="K202:K224" si="66">I202*J202</f>
        <v>4674.2757750000001</v>
      </c>
      <c r="L202" s="299">
        <f t="shared" ref="L202:L224" si="67">ROUND(K202*G202,2)</f>
        <v>19.87</v>
      </c>
      <c r="M202" s="154">
        <f t="shared" si="45"/>
        <v>3.97</v>
      </c>
      <c r="N202" s="73">
        <f t="shared" si="63"/>
        <v>23.84</v>
      </c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64"/>
      <c r="Z202" s="9"/>
      <c r="AA202" s="65"/>
      <c r="AB202" s="26"/>
      <c r="AC202" s="26"/>
      <c r="AD202" s="26"/>
    </row>
    <row r="203" spans="1:30" s="20" customFormat="1" ht="178.5" hidden="1" x14ac:dyDescent="0.2">
      <c r="A203" s="327">
        <f t="shared" si="64"/>
        <v>155</v>
      </c>
      <c r="B203" s="328" t="s">
        <v>348</v>
      </c>
      <c r="C203" s="302" t="s">
        <v>345</v>
      </c>
      <c r="D203" s="303" t="s">
        <v>354</v>
      </c>
      <c r="E203" s="303">
        <v>0.93700000000000006</v>
      </c>
      <c r="F203" s="254">
        <v>1</v>
      </c>
      <c r="G203" s="254">
        <f>F203*E203</f>
        <v>0.93700000000000006</v>
      </c>
      <c r="H203" s="254"/>
      <c r="I203" s="299">
        <v>232.79166666666669</v>
      </c>
      <c r="J203" s="329">
        <v>12.811500000000001</v>
      </c>
      <c r="K203" s="309">
        <f t="shared" si="66"/>
        <v>2982.4104375000002</v>
      </c>
      <c r="L203" s="299">
        <f t="shared" si="67"/>
        <v>2794.52</v>
      </c>
      <c r="M203" s="154">
        <f t="shared" si="45"/>
        <v>558.9</v>
      </c>
      <c r="N203" s="73">
        <f t="shared" si="63"/>
        <v>3353.42</v>
      </c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64"/>
      <c r="Z203" s="9"/>
      <c r="AA203" s="65"/>
      <c r="AB203" s="26"/>
      <c r="AC203" s="26"/>
      <c r="AD203" s="26"/>
    </row>
    <row r="204" spans="1:30" s="20" customFormat="1" ht="66" hidden="1" customHeight="1" x14ac:dyDescent="0.2">
      <c r="A204" s="327">
        <f t="shared" si="64"/>
        <v>156</v>
      </c>
      <c r="B204" s="328" t="s">
        <v>349</v>
      </c>
      <c r="C204" s="302" t="s">
        <v>356</v>
      </c>
      <c r="D204" s="330" t="s">
        <v>355</v>
      </c>
      <c r="E204" s="332">
        <v>1.52263E-2</v>
      </c>
      <c r="F204" s="254">
        <v>1</v>
      </c>
      <c r="G204" s="254">
        <f>F204*E204</f>
        <v>1.52263E-2</v>
      </c>
      <c r="H204" s="254"/>
      <c r="I204" s="299">
        <v>16413.416666666668</v>
      </c>
      <c r="J204" s="329">
        <v>12.811500000000001</v>
      </c>
      <c r="K204" s="309">
        <f t="shared" si="66"/>
        <v>210280.48762500004</v>
      </c>
      <c r="L204" s="299">
        <f t="shared" si="67"/>
        <v>3201.79</v>
      </c>
      <c r="M204" s="154">
        <f t="shared" si="45"/>
        <v>640.36</v>
      </c>
      <c r="N204" s="73">
        <f t="shared" si="63"/>
        <v>3842.15</v>
      </c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64"/>
      <c r="Z204" s="9"/>
      <c r="AA204" s="65"/>
      <c r="AB204" s="26">
        <v>0.42</v>
      </c>
      <c r="AC204" s="26">
        <v>0.65</v>
      </c>
      <c r="AD204" s="29">
        <f>AA204/AB204*AC204</f>
        <v>0</v>
      </c>
    </row>
    <row r="205" spans="1:30" s="20" customFormat="1" ht="30.75" hidden="1" customHeight="1" x14ac:dyDescent="0.2">
      <c r="A205" s="327">
        <f t="shared" si="64"/>
        <v>157</v>
      </c>
      <c r="B205" s="328" t="s">
        <v>347</v>
      </c>
      <c r="C205" s="302" t="s">
        <v>357</v>
      </c>
      <c r="D205" s="303" t="s">
        <v>355</v>
      </c>
      <c r="E205" s="331">
        <v>5.8560000000000001E-3</v>
      </c>
      <c r="F205" s="254">
        <v>1</v>
      </c>
      <c r="G205" s="254">
        <f t="shared" si="65"/>
        <v>5.8560000000000001E-3</v>
      </c>
      <c r="H205" s="254"/>
      <c r="I205" s="299">
        <v>364.85</v>
      </c>
      <c r="J205" s="329">
        <v>12.811500000000001</v>
      </c>
      <c r="K205" s="309">
        <f t="shared" si="66"/>
        <v>4674.2757750000001</v>
      </c>
      <c r="L205" s="299">
        <f t="shared" si="67"/>
        <v>27.37</v>
      </c>
      <c r="M205" s="154">
        <f t="shared" si="45"/>
        <v>5.47</v>
      </c>
      <c r="N205" s="73">
        <f t="shared" si="63"/>
        <v>32.840000000000003</v>
      </c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64"/>
      <c r="Z205" s="9"/>
      <c r="AA205" s="65"/>
      <c r="AB205" s="26"/>
      <c r="AC205" s="26"/>
      <c r="AD205" s="26"/>
    </row>
    <row r="206" spans="1:30" s="20" customFormat="1" ht="45" hidden="1" customHeight="1" x14ac:dyDescent="0.2">
      <c r="A206" s="327">
        <f t="shared" si="64"/>
        <v>158</v>
      </c>
      <c r="B206" s="328" t="s">
        <v>350</v>
      </c>
      <c r="C206" s="302" t="s">
        <v>346</v>
      </c>
      <c r="D206" s="303" t="s">
        <v>354</v>
      </c>
      <c r="E206" s="303">
        <v>0.25</v>
      </c>
      <c r="F206" s="254">
        <v>1</v>
      </c>
      <c r="G206" s="254">
        <f t="shared" si="65"/>
        <v>0.25</v>
      </c>
      <c r="H206" s="254"/>
      <c r="I206" s="299">
        <v>232.79166666666669</v>
      </c>
      <c r="J206" s="329">
        <v>12.811500000000001</v>
      </c>
      <c r="K206" s="309">
        <f>I206*J206</f>
        <v>2982.4104375000002</v>
      </c>
      <c r="L206" s="299">
        <f t="shared" si="67"/>
        <v>745.6</v>
      </c>
      <c r="M206" s="154">
        <f t="shared" si="45"/>
        <v>149.12</v>
      </c>
      <c r="N206" s="73">
        <f t="shared" si="63"/>
        <v>894.72</v>
      </c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64"/>
      <c r="Z206" s="9"/>
      <c r="AA206" s="65"/>
      <c r="AB206" s="30"/>
      <c r="AC206" s="26"/>
      <c r="AD206" s="26"/>
    </row>
    <row r="207" spans="1:30" s="20" customFormat="1" ht="44.25" hidden="1" customHeight="1" x14ac:dyDescent="0.2">
      <c r="A207" s="327">
        <f>1+A206</f>
        <v>159</v>
      </c>
      <c r="B207" s="328" t="s">
        <v>349</v>
      </c>
      <c r="C207" s="302" t="s">
        <v>344</v>
      </c>
      <c r="D207" s="330" t="s">
        <v>355</v>
      </c>
      <c r="E207" s="332">
        <v>1.21875E-2</v>
      </c>
      <c r="F207" s="254">
        <v>1</v>
      </c>
      <c r="G207" s="300">
        <f t="shared" si="65"/>
        <v>1.21875E-2</v>
      </c>
      <c r="H207" s="254"/>
      <c r="I207" s="299">
        <v>16413.416666666668</v>
      </c>
      <c r="J207" s="329">
        <v>12.811500000000001</v>
      </c>
      <c r="K207" s="309">
        <f t="shared" si="66"/>
        <v>210280.48762500004</v>
      </c>
      <c r="L207" s="299">
        <f t="shared" si="67"/>
        <v>2562.79</v>
      </c>
      <c r="M207" s="154">
        <f t="shared" si="45"/>
        <v>512.55999999999995</v>
      </c>
      <c r="N207" s="73">
        <f>ROUND(L207+M207,2)</f>
        <v>3075.35</v>
      </c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64"/>
      <c r="Z207" s="9"/>
      <c r="AA207" s="65"/>
      <c r="AB207" s="26">
        <v>0.42</v>
      </c>
      <c r="AC207" s="26">
        <v>0.65</v>
      </c>
      <c r="AD207" s="29">
        <f>AA207/AB207*AC207</f>
        <v>0</v>
      </c>
    </row>
    <row r="208" spans="1:30" s="20" customFormat="1" ht="27" hidden="1" customHeight="1" x14ac:dyDescent="0.2">
      <c r="A208" s="327">
        <f t="shared" ref="A208:A224" si="68">1+A207</f>
        <v>160</v>
      </c>
      <c r="B208" s="328" t="s">
        <v>347</v>
      </c>
      <c r="C208" s="302" t="s">
        <v>359</v>
      </c>
      <c r="D208" s="303" t="s">
        <v>355</v>
      </c>
      <c r="E208" s="331">
        <v>4.6899999999999997E-3</v>
      </c>
      <c r="F208" s="254">
        <v>1</v>
      </c>
      <c r="G208" s="300">
        <f t="shared" si="65"/>
        <v>4.6899999999999997E-3</v>
      </c>
      <c r="H208" s="254"/>
      <c r="I208" s="299">
        <v>364.85</v>
      </c>
      <c r="J208" s="329">
        <v>12.811500000000001</v>
      </c>
      <c r="K208" s="309">
        <f t="shared" si="66"/>
        <v>4674.2757750000001</v>
      </c>
      <c r="L208" s="299">
        <f t="shared" si="67"/>
        <v>21.92</v>
      </c>
      <c r="M208" s="154">
        <f t="shared" si="45"/>
        <v>4.38</v>
      </c>
      <c r="N208" s="73">
        <f>ROUND(L208+M208,2)</f>
        <v>26.3</v>
      </c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64"/>
      <c r="Z208" s="9"/>
      <c r="AA208" s="65"/>
      <c r="AB208" s="29"/>
      <c r="AC208" s="26"/>
      <c r="AD208" s="26"/>
    </row>
    <row r="209" spans="1:30" s="20" customFormat="1" ht="40.5" hidden="1" customHeight="1" x14ac:dyDescent="0.2">
      <c r="A209" s="327">
        <f t="shared" si="68"/>
        <v>161</v>
      </c>
      <c r="B209" s="328" t="s">
        <v>351</v>
      </c>
      <c r="C209" s="302" t="s">
        <v>360</v>
      </c>
      <c r="D209" s="303" t="s">
        <v>354</v>
      </c>
      <c r="E209" s="303">
        <v>0.06</v>
      </c>
      <c r="F209" s="254">
        <v>1</v>
      </c>
      <c r="G209" s="254">
        <f t="shared" si="65"/>
        <v>0.06</v>
      </c>
      <c r="H209" s="254"/>
      <c r="I209" s="299">
        <v>232.79166666666669</v>
      </c>
      <c r="J209" s="329">
        <v>12.811500000000001</v>
      </c>
      <c r="K209" s="309">
        <f t="shared" si="66"/>
        <v>2982.4104375000002</v>
      </c>
      <c r="L209" s="299">
        <f t="shared" si="67"/>
        <v>178.94</v>
      </c>
      <c r="M209" s="154">
        <f t="shared" si="45"/>
        <v>35.79</v>
      </c>
      <c r="N209" s="73">
        <f t="shared" ref="N209:N224" si="69">ROUND(L209+M209,2)</f>
        <v>214.73</v>
      </c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64"/>
      <c r="Z209" s="9"/>
      <c r="AA209" s="65"/>
      <c r="AB209" s="26"/>
      <c r="AC209" s="26"/>
      <c r="AD209" s="26"/>
    </row>
    <row r="210" spans="1:30" s="20" customFormat="1" ht="178.5" hidden="1" x14ac:dyDescent="0.2">
      <c r="A210" s="327">
        <f t="shared" si="68"/>
        <v>162</v>
      </c>
      <c r="B210" s="328" t="s">
        <v>349</v>
      </c>
      <c r="C210" s="302" t="s">
        <v>356</v>
      </c>
      <c r="D210" s="330" t="s">
        <v>355</v>
      </c>
      <c r="E210" s="332">
        <v>1.9499999999999999E-3</v>
      </c>
      <c r="F210" s="254">
        <v>1</v>
      </c>
      <c r="G210" s="254">
        <f t="shared" si="65"/>
        <v>1.9499999999999999E-3</v>
      </c>
      <c r="H210" s="254"/>
      <c r="I210" s="299">
        <v>16413.416666666668</v>
      </c>
      <c r="J210" s="329">
        <v>12.811500000000001</v>
      </c>
      <c r="K210" s="309">
        <f t="shared" si="66"/>
        <v>210280.48762500004</v>
      </c>
      <c r="L210" s="299">
        <f t="shared" si="67"/>
        <v>410.05</v>
      </c>
      <c r="M210" s="154">
        <f t="shared" si="45"/>
        <v>82.01</v>
      </c>
      <c r="N210" s="73">
        <f t="shared" si="69"/>
        <v>492.06</v>
      </c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64"/>
      <c r="Z210" s="9"/>
      <c r="AA210" s="65"/>
      <c r="AB210" s="26">
        <v>0.42</v>
      </c>
      <c r="AC210" s="26">
        <v>0.65</v>
      </c>
      <c r="AD210" s="29">
        <f>AA210/AB210*AC210</f>
        <v>0</v>
      </c>
    </row>
    <row r="211" spans="1:30" s="20" customFormat="1" ht="56.25" hidden="1" customHeight="1" x14ac:dyDescent="0.2">
      <c r="A211" s="327">
        <f t="shared" si="68"/>
        <v>163</v>
      </c>
      <c r="B211" s="328" t="s">
        <v>347</v>
      </c>
      <c r="C211" s="302" t="s">
        <v>357</v>
      </c>
      <c r="D211" s="303" t="s">
        <v>355</v>
      </c>
      <c r="E211" s="329">
        <v>1.5E-3</v>
      </c>
      <c r="F211" s="254">
        <v>1</v>
      </c>
      <c r="G211" s="254">
        <f>F211*E211</f>
        <v>1.5E-3</v>
      </c>
      <c r="H211" s="254"/>
      <c r="I211" s="299">
        <v>364.85</v>
      </c>
      <c r="J211" s="329">
        <v>12.811500000000001</v>
      </c>
      <c r="K211" s="309">
        <f t="shared" si="66"/>
        <v>4674.2757750000001</v>
      </c>
      <c r="L211" s="299">
        <f t="shared" si="67"/>
        <v>7.01</v>
      </c>
      <c r="M211" s="154">
        <f t="shared" ref="M211:M224" si="70">ROUND(L211*0.2,2)</f>
        <v>1.4</v>
      </c>
      <c r="N211" s="73">
        <f t="shared" si="69"/>
        <v>8.41</v>
      </c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64"/>
      <c r="Z211" s="9"/>
      <c r="AA211" s="65"/>
      <c r="AB211" s="31"/>
      <c r="AC211" s="22"/>
      <c r="AD211" s="32">
        <f>N198+N199+N200+N201+N202+N203+N204+N205+N206+N208+N211</f>
        <v>11578.409999999998</v>
      </c>
    </row>
    <row r="212" spans="1:30" s="20" customFormat="1" ht="49.5" hidden="1" customHeight="1" x14ac:dyDescent="0.2">
      <c r="A212" s="327"/>
      <c r="B212" s="328"/>
      <c r="C212" s="219" t="s">
        <v>16</v>
      </c>
      <c r="D212" s="231"/>
      <c r="E212" s="231"/>
      <c r="F212" s="231"/>
      <c r="G212" s="231"/>
      <c r="H212" s="231"/>
      <c r="I212" s="299"/>
      <c r="J212" s="329"/>
      <c r="K212" s="309"/>
      <c r="L212" s="299"/>
      <c r="M212" s="299"/>
      <c r="N212" s="250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64"/>
      <c r="Z212" s="492"/>
      <c r="AA212" s="493"/>
      <c r="AB212" s="22"/>
      <c r="AC212" s="34"/>
      <c r="AD212" s="35"/>
    </row>
    <row r="213" spans="1:30" s="20" customFormat="1" ht="107.25" hidden="1" customHeight="1" x14ac:dyDescent="0.2">
      <c r="A213" s="327">
        <f>A211+1</f>
        <v>164</v>
      </c>
      <c r="B213" s="328" t="s">
        <v>353</v>
      </c>
      <c r="C213" s="302" t="s">
        <v>361</v>
      </c>
      <c r="D213" s="303" t="s">
        <v>354</v>
      </c>
      <c r="E213" s="303">
        <v>0.193</v>
      </c>
      <c r="F213" s="254">
        <v>1</v>
      </c>
      <c r="G213" s="254">
        <f t="shared" ref="G213:G224" si="71">F213*E213</f>
        <v>0.193</v>
      </c>
      <c r="H213" s="254"/>
      <c r="I213" s="299">
        <v>232.79166666666669</v>
      </c>
      <c r="J213" s="329">
        <v>12.811500000000001</v>
      </c>
      <c r="K213" s="309">
        <f t="shared" si="66"/>
        <v>2982.4104375000002</v>
      </c>
      <c r="L213" s="299">
        <f t="shared" si="67"/>
        <v>575.61</v>
      </c>
      <c r="M213" s="154">
        <f t="shared" si="70"/>
        <v>115.12</v>
      </c>
      <c r="N213" s="73">
        <f t="shared" si="69"/>
        <v>690.73</v>
      </c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64"/>
      <c r="Z213" s="9"/>
      <c r="AA213" s="42"/>
      <c r="AB213" s="51"/>
      <c r="AC213" s="51"/>
      <c r="AD213" s="22"/>
    </row>
    <row r="214" spans="1:30" s="20" customFormat="1" ht="178.5" hidden="1" x14ac:dyDescent="0.2">
      <c r="A214" s="327">
        <f t="shared" si="68"/>
        <v>165</v>
      </c>
      <c r="B214" s="328" t="s">
        <v>349</v>
      </c>
      <c r="C214" s="302" t="s">
        <v>356</v>
      </c>
      <c r="D214" s="330" t="s">
        <v>355</v>
      </c>
      <c r="E214" s="330">
        <f>E213*AB214</f>
        <v>1.2545000000000001E-2</v>
      </c>
      <c r="F214" s="254">
        <v>1</v>
      </c>
      <c r="G214" s="300">
        <f t="shared" si="71"/>
        <v>1.2545000000000001E-2</v>
      </c>
      <c r="H214" s="254"/>
      <c r="I214" s="299">
        <v>16413.416666666668</v>
      </c>
      <c r="J214" s="329">
        <v>12.811500000000001</v>
      </c>
      <c r="K214" s="309">
        <f t="shared" si="66"/>
        <v>210280.48762500004</v>
      </c>
      <c r="L214" s="299">
        <f t="shared" si="67"/>
        <v>2637.97</v>
      </c>
      <c r="M214" s="154">
        <f t="shared" si="70"/>
        <v>527.59</v>
      </c>
      <c r="N214" s="73">
        <f t="shared" si="69"/>
        <v>3165.56</v>
      </c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64"/>
      <c r="Z214" s="9"/>
      <c r="AA214" s="42"/>
      <c r="AB214" s="52">
        <v>6.5000000000000002E-2</v>
      </c>
      <c r="AC214" s="52"/>
      <c r="AD214" s="22"/>
    </row>
    <row r="215" spans="1:30" s="20" customFormat="1" ht="178.5" hidden="1" x14ac:dyDescent="0.2">
      <c r="A215" s="327">
        <f t="shared" si="68"/>
        <v>166</v>
      </c>
      <c r="B215" s="328" t="s">
        <v>347</v>
      </c>
      <c r="C215" s="302" t="s">
        <v>357</v>
      </c>
      <c r="D215" s="303" t="s">
        <v>355</v>
      </c>
      <c r="E215" s="303">
        <f>E213*AB215*AC215</f>
        <v>4.8250000000000003E-3</v>
      </c>
      <c r="F215" s="254">
        <v>1</v>
      </c>
      <c r="G215" s="300">
        <f t="shared" si="71"/>
        <v>4.8250000000000003E-3</v>
      </c>
      <c r="H215" s="254"/>
      <c r="I215" s="299">
        <v>364.85</v>
      </c>
      <c r="J215" s="329">
        <v>12.811500000000001</v>
      </c>
      <c r="K215" s="309">
        <f t="shared" si="66"/>
        <v>4674.2757750000001</v>
      </c>
      <c r="L215" s="299">
        <f t="shared" si="67"/>
        <v>22.55</v>
      </c>
      <c r="M215" s="154">
        <f t="shared" si="70"/>
        <v>4.51</v>
      </c>
      <c r="N215" s="73">
        <f t="shared" si="69"/>
        <v>27.06</v>
      </c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64"/>
      <c r="Z215" s="9"/>
      <c r="AA215" s="42"/>
      <c r="AB215" s="36">
        <v>2.5000000000000001E-4</v>
      </c>
      <c r="AC215" s="52">
        <v>100</v>
      </c>
      <c r="AD215" s="22"/>
    </row>
    <row r="216" spans="1:30" s="20" customFormat="1" ht="106.5" hidden="1" customHeight="1" x14ac:dyDescent="0.2">
      <c r="A216" s="327">
        <f t="shared" si="68"/>
        <v>167</v>
      </c>
      <c r="B216" s="328" t="s">
        <v>350</v>
      </c>
      <c r="C216" s="302" t="s">
        <v>362</v>
      </c>
      <c r="D216" s="303" t="s">
        <v>354</v>
      </c>
      <c r="E216" s="303">
        <v>0.7</v>
      </c>
      <c r="F216" s="254">
        <v>1</v>
      </c>
      <c r="G216" s="254">
        <f t="shared" si="71"/>
        <v>0.7</v>
      </c>
      <c r="H216" s="254"/>
      <c r="I216" s="299">
        <v>232.79166666666669</v>
      </c>
      <c r="J216" s="329">
        <v>12.811500000000001</v>
      </c>
      <c r="K216" s="309">
        <f t="shared" si="66"/>
        <v>2982.4104375000002</v>
      </c>
      <c r="L216" s="299">
        <f t="shared" si="67"/>
        <v>2087.69</v>
      </c>
      <c r="M216" s="154">
        <f t="shared" si="70"/>
        <v>417.54</v>
      </c>
      <c r="N216" s="73">
        <f t="shared" si="69"/>
        <v>2505.23</v>
      </c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64"/>
      <c r="Z216" s="9"/>
      <c r="AA216" s="42"/>
      <c r="AB216" s="52"/>
      <c r="AC216" s="52"/>
      <c r="AD216" s="22"/>
    </row>
    <row r="217" spans="1:30" s="20" customFormat="1" ht="64.5" hidden="1" customHeight="1" x14ac:dyDescent="0.2">
      <c r="A217" s="327">
        <f t="shared" si="68"/>
        <v>168</v>
      </c>
      <c r="B217" s="328" t="s">
        <v>349</v>
      </c>
      <c r="C217" s="302" t="s">
        <v>356</v>
      </c>
      <c r="D217" s="330" t="s">
        <v>355</v>
      </c>
      <c r="E217" s="332">
        <v>3.4125000000000003E-2</v>
      </c>
      <c r="F217" s="254">
        <v>1</v>
      </c>
      <c r="G217" s="300">
        <f t="shared" si="71"/>
        <v>3.4125000000000003E-2</v>
      </c>
      <c r="H217" s="254"/>
      <c r="I217" s="299">
        <v>16413.416666666668</v>
      </c>
      <c r="J217" s="329">
        <v>12.811500000000001</v>
      </c>
      <c r="K217" s="309">
        <f t="shared" si="66"/>
        <v>210280.48762500004</v>
      </c>
      <c r="L217" s="299">
        <f t="shared" si="67"/>
        <v>7175.82</v>
      </c>
      <c r="M217" s="154">
        <f>ROUND(L217*0.2,2)</f>
        <v>1435.16</v>
      </c>
      <c r="N217" s="73">
        <f t="shared" si="69"/>
        <v>8610.98</v>
      </c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64"/>
      <c r="Z217" s="9"/>
      <c r="AA217" s="42"/>
      <c r="AB217" s="26">
        <v>0.42</v>
      </c>
      <c r="AC217" s="26">
        <v>0.65</v>
      </c>
      <c r="AD217" s="29">
        <f>AA217/AB217*AC217</f>
        <v>0</v>
      </c>
    </row>
    <row r="218" spans="1:30" s="20" customFormat="1" ht="69" hidden="1" customHeight="1" x14ac:dyDescent="0.2">
      <c r="A218" s="327">
        <f t="shared" si="68"/>
        <v>169</v>
      </c>
      <c r="B218" s="328" t="s">
        <v>347</v>
      </c>
      <c r="C218" s="302" t="s">
        <v>359</v>
      </c>
      <c r="D218" s="303" t="s">
        <v>355</v>
      </c>
      <c r="E218" s="303">
        <f>E216*AB218*AC218</f>
        <v>1.3125E-2</v>
      </c>
      <c r="F218" s="254">
        <v>1</v>
      </c>
      <c r="G218" s="300">
        <f t="shared" si="71"/>
        <v>1.3125E-2</v>
      </c>
      <c r="H218" s="254"/>
      <c r="I218" s="299">
        <v>364.85</v>
      </c>
      <c r="J218" s="329">
        <v>12.811500000000001</v>
      </c>
      <c r="K218" s="309">
        <f t="shared" si="66"/>
        <v>4674.2757750000001</v>
      </c>
      <c r="L218" s="299">
        <f t="shared" si="67"/>
        <v>61.35</v>
      </c>
      <c r="M218" s="154">
        <f t="shared" si="70"/>
        <v>12.27</v>
      </c>
      <c r="N218" s="73">
        <f t="shared" si="69"/>
        <v>73.62</v>
      </c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64"/>
      <c r="Z218" s="9"/>
      <c r="AA218" s="42"/>
      <c r="AB218" s="36">
        <v>2.5000000000000001E-4</v>
      </c>
      <c r="AC218" s="52">
        <v>75</v>
      </c>
      <c r="AD218" s="22">
        <f>E218/0.25*0.65</f>
        <v>3.4125000000000003E-2</v>
      </c>
    </row>
    <row r="219" spans="1:30" s="20" customFormat="1" ht="117" hidden="1" customHeight="1" x14ac:dyDescent="0.2">
      <c r="A219" s="327">
        <f t="shared" si="68"/>
        <v>170</v>
      </c>
      <c r="B219" s="328" t="s">
        <v>363</v>
      </c>
      <c r="C219" s="302" t="s">
        <v>364</v>
      </c>
      <c r="D219" s="303" t="s">
        <v>354</v>
      </c>
      <c r="E219" s="303">
        <v>4.0099999999999997E-2</v>
      </c>
      <c r="F219" s="254">
        <v>1</v>
      </c>
      <c r="G219" s="254">
        <f t="shared" si="71"/>
        <v>4.0099999999999997E-2</v>
      </c>
      <c r="H219" s="254"/>
      <c r="I219" s="299">
        <v>397.01666666666671</v>
      </c>
      <c r="J219" s="329">
        <v>12.811500000000001</v>
      </c>
      <c r="K219" s="309">
        <f t="shared" si="66"/>
        <v>5086.3790250000011</v>
      </c>
      <c r="L219" s="299">
        <f t="shared" si="67"/>
        <v>203.96</v>
      </c>
      <c r="M219" s="154">
        <f>ROUND(L219*0.2,2)</f>
        <v>40.79</v>
      </c>
      <c r="N219" s="73">
        <f t="shared" si="69"/>
        <v>244.75</v>
      </c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64"/>
      <c r="Z219" s="9"/>
      <c r="AA219" s="42"/>
      <c r="AB219" s="52"/>
      <c r="AC219" s="52"/>
      <c r="AD219" s="22"/>
    </row>
    <row r="220" spans="1:30" s="20" customFormat="1" ht="178.5" hidden="1" x14ac:dyDescent="0.2">
      <c r="A220" s="327">
        <f t="shared" si="68"/>
        <v>171</v>
      </c>
      <c r="B220" s="328" t="s">
        <v>349</v>
      </c>
      <c r="C220" s="302" t="s">
        <v>358</v>
      </c>
      <c r="D220" s="330" t="s">
        <v>355</v>
      </c>
      <c r="E220" s="333">
        <v>8.3409999999999998E-2</v>
      </c>
      <c r="F220" s="254">
        <v>1</v>
      </c>
      <c r="G220" s="300">
        <f t="shared" si="71"/>
        <v>8.3409999999999998E-2</v>
      </c>
      <c r="H220" s="254"/>
      <c r="I220" s="299">
        <v>16413.416666666668</v>
      </c>
      <c r="J220" s="329">
        <v>12.811500000000001</v>
      </c>
      <c r="K220" s="309">
        <f t="shared" si="66"/>
        <v>210280.48762500004</v>
      </c>
      <c r="L220" s="299">
        <f t="shared" si="67"/>
        <v>17539.5</v>
      </c>
      <c r="M220" s="154">
        <f>ROUND(L220*0.2,2)</f>
        <v>3507.9</v>
      </c>
      <c r="N220" s="73">
        <f t="shared" si="69"/>
        <v>21047.4</v>
      </c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64"/>
      <c r="Z220" s="9"/>
      <c r="AA220" s="42"/>
      <c r="AB220" s="52">
        <v>0.33600000000000002</v>
      </c>
      <c r="AC220" s="52"/>
      <c r="AD220" s="22">
        <f>E221/0.25*0.65</f>
        <v>8.3407999999999996E-2</v>
      </c>
    </row>
    <row r="221" spans="1:30" s="20" customFormat="1" ht="178.5" hidden="1" x14ac:dyDescent="0.2">
      <c r="A221" s="327">
        <f t="shared" si="68"/>
        <v>172</v>
      </c>
      <c r="B221" s="328" t="s">
        <v>347</v>
      </c>
      <c r="C221" s="302" t="s">
        <v>357</v>
      </c>
      <c r="D221" s="303" t="s">
        <v>355</v>
      </c>
      <c r="E221" s="303">
        <f>E219*AB221*AC221</f>
        <v>3.2079999999999997E-2</v>
      </c>
      <c r="F221" s="254">
        <v>1</v>
      </c>
      <c r="G221" s="300">
        <f t="shared" si="71"/>
        <v>3.2079999999999997E-2</v>
      </c>
      <c r="H221" s="254"/>
      <c r="I221" s="299">
        <v>364.85</v>
      </c>
      <c r="J221" s="329">
        <v>12.811500000000001</v>
      </c>
      <c r="K221" s="309">
        <f t="shared" si="66"/>
        <v>4674.2757750000001</v>
      </c>
      <c r="L221" s="299">
        <f t="shared" si="67"/>
        <v>149.94999999999999</v>
      </c>
      <c r="M221" s="154">
        <f t="shared" si="70"/>
        <v>29.99</v>
      </c>
      <c r="N221" s="73">
        <f t="shared" si="69"/>
        <v>179.94</v>
      </c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64"/>
      <c r="Z221" s="9"/>
      <c r="AA221" s="42"/>
      <c r="AB221" s="36">
        <v>2.5000000000000001E-4</v>
      </c>
      <c r="AC221" s="52">
        <v>3200</v>
      </c>
      <c r="AD221" s="22"/>
    </row>
    <row r="222" spans="1:30" s="20" customFormat="1" ht="105" hidden="1" customHeight="1" x14ac:dyDescent="0.2">
      <c r="A222" s="327">
        <f t="shared" si="68"/>
        <v>173</v>
      </c>
      <c r="B222" s="328" t="s">
        <v>365</v>
      </c>
      <c r="C222" s="302" t="s">
        <v>366</v>
      </c>
      <c r="D222" s="254" t="s">
        <v>411</v>
      </c>
      <c r="E222" s="330">
        <v>1.0107999999999999</v>
      </c>
      <c r="F222" s="254">
        <v>1</v>
      </c>
      <c r="G222" s="254">
        <f t="shared" si="71"/>
        <v>1.0107999999999999</v>
      </c>
      <c r="H222" s="254"/>
      <c r="I222" s="299">
        <v>218.4</v>
      </c>
      <c r="J222" s="329">
        <v>12.811500000000001</v>
      </c>
      <c r="K222" s="309">
        <f t="shared" si="66"/>
        <v>2798.0316000000003</v>
      </c>
      <c r="L222" s="299">
        <f t="shared" si="67"/>
        <v>2828.25</v>
      </c>
      <c r="M222" s="154">
        <f>ROUND(L222*0.2,2)</f>
        <v>565.65</v>
      </c>
      <c r="N222" s="73">
        <f t="shared" si="69"/>
        <v>3393.9</v>
      </c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64"/>
      <c r="Z222" s="9"/>
      <c r="AA222" s="42"/>
      <c r="AB222" s="52"/>
      <c r="AC222" s="52"/>
      <c r="AD222" s="22"/>
    </row>
    <row r="223" spans="1:30" s="20" customFormat="1" ht="48.75" hidden="1" customHeight="1" x14ac:dyDescent="0.2">
      <c r="A223" s="327">
        <f t="shared" si="68"/>
        <v>174</v>
      </c>
      <c r="B223" s="328" t="s">
        <v>349</v>
      </c>
      <c r="C223" s="302" t="s">
        <v>356</v>
      </c>
      <c r="D223" s="330" t="s">
        <v>355</v>
      </c>
      <c r="E223" s="330">
        <f>AD223</f>
        <v>6.5701999999999997E-2</v>
      </c>
      <c r="F223" s="254">
        <v>1</v>
      </c>
      <c r="G223" s="254">
        <f t="shared" si="71"/>
        <v>6.5701999999999997E-2</v>
      </c>
      <c r="H223" s="254"/>
      <c r="I223" s="299">
        <v>16413.416666666668</v>
      </c>
      <c r="J223" s="329">
        <v>12.811500000000001</v>
      </c>
      <c r="K223" s="309">
        <f t="shared" si="66"/>
        <v>210280.48762500004</v>
      </c>
      <c r="L223" s="299">
        <f t="shared" si="67"/>
        <v>13815.85</v>
      </c>
      <c r="M223" s="154">
        <f>ROUND(L223*0.2,2)</f>
        <v>2763.17</v>
      </c>
      <c r="N223" s="73">
        <f t="shared" si="69"/>
        <v>16579.02</v>
      </c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9"/>
      <c r="AA223" s="42"/>
      <c r="AB223" s="52">
        <v>7.8E-2</v>
      </c>
      <c r="AC223" s="52"/>
      <c r="AD223" s="22">
        <f>E224/0.25*0.65</f>
        <v>6.5701999999999997E-2</v>
      </c>
    </row>
    <row r="224" spans="1:30" s="20" customFormat="1" ht="60.75" hidden="1" customHeight="1" x14ac:dyDescent="0.2">
      <c r="A224" s="327">
        <f t="shared" si="68"/>
        <v>175</v>
      </c>
      <c r="B224" s="328" t="s">
        <v>347</v>
      </c>
      <c r="C224" s="302" t="s">
        <v>357</v>
      </c>
      <c r="D224" s="303" t="s">
        <v>355</v>
      </c>
      <c r="E224" s="303">
        <f>E222*AB224*AC224</f>
        <v>2.5269999999999997E-2</v>
      </c>
      <c r="F224" s="254">
        <v>1</v>
      </c>
      <c r="G224" s="254">
        <f t="shared" si="71"/>
        <v>2.5269999999999997E-2</v>
      </c>
      <c r="H224" s="254"/>
      <c r="I224" s="299">
        <v>364.85</v>
      </c>
      <c r="J224" s="329">
        <v>12.811500000000001</v>
      </c>
      <c r="K224" s="309">
        <f t="shared" si="66"/>
        <v>4674.2757750000001</v>
      </c>
      <c r="L224" s="299">
        <f t="shared" si="67"/>
        <v>118.12</v>
      </c>
      <c r="M224" s="154">
        <f t="shared" si="70"/>
        <v>23.62</v>
      </c>
      <c r="N224" s="73">
        <f t="shared" si="69"/>
        <v>141.74</v>
      </c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64"/>
      <c r="Z224" s="9"/>
      <c r="AA224" s="33"/>
      <c r="AB224" s="36">
        <v>2.5000000000000001E-4</v>
      </c>
      <c r="AC224" s="52">
        <v>100</v>
      </c>
      <c r="AD224" s="22"/>
    </row>
    <row r="225" spans="1:31" s="20" customFormat="1" ht="60.75" hidden="1" customHeight="1" x14ac:dyDescent="0.2">
      <c r="A225" s="327"/>
      <c r="B225" s="505"/>
      <c r="C225" s="302"/>
      <c r="D225" s="303"/>
      <c r="E225" s="303"/>
      <c r="F225" s="254"/>
      <c r="G225" s="254"/>
      <c r="H225" s="254"/>
      <c r="I225" s="299"/>
      <c r="J225" s="329"/>
      <c r="K225" s="309"/>
      <c r="L225" s="299"/>
      <c r="M225" s="154"/>
      <c r="N225" s="73"/>
      <c r="O225" s="73">
        <v>56659.93</v>
      </c>
      <c r="P225" s="73">
        <f>O225/7</f>
        <v>8094.2757142857145</v>
      </c>
      <c r="Q225" s="73"/>
      <c r="R225" s="73"/>
      <c r="S225" s="73"/>
      <c r="T225" s="73"/>
      <c r="U225" s="73"/>
      <c r="V225" s="73"/>
      <c r="W225" s="73"/>
      <c r="X225" s="73"/>
      <c r="Y225" s="506">
        <v>72020.48000000001</v>
      </c>
      <c r="Z225" s="9"/>
      <c r="AA225" s="33"/>
      <c r="AB225" s="81"/>
      <c r="AC225" s="82"/>
      <c r="AD225" s="22"/>
    </row>
    <row r="226" spans="1:31" s="39" customFormat="1" ht="45.75" hidden="1" customHeight="1" x14ac:dyDescent="0.2">
      <c r="A226" s="232"/>
      <c r="B226" s="233"/>
      <c r="C226" s="228" t="s">
        <v>450</v>
      </c>
      <c r="D226" s="334"/>
      <c r="E226" s="334"/>
      <c r="F226" s="334"/>
      <c r="G226" s="334"/>
      <c r="H226" s="334"/>
      <c r="I226" s="334"/>
      <c r="J226" s="334"/>
      <c r="K226" s="334"/>
      <c r="L226" s="260">
        <f>SUM(L12:L224)-0.07</f>
        <v>12058334.530000001</v>
      </c>
      <c r="M226" s="234">
        <f>ROUND(L226*0.2,2)</f>
        <v>2411666.91</v>
      </c>
      <c r="N226" s="78">
        <f>L226+M226</f>
        <v>14470001.440000001</v>
      </c>
      <c r="O226" s="78" t="s">
        <v>538</v>
      </c>
      <c r="P226" s="78" t="s">
        <v>409</v>
      </c>
      <c r="Q226" s="78" t="s">
        <v>74</v>
      </c>
      <c r="R226" s="78"/>
      <c r="S226" s="78"/>
      <c r="T226" s="78"/>
      <c r="U226" s="78"/>
      <c r="V226" s="78"/>
      <c r="W226" s="78"/>
      <c r="X226" s="78"/>
      <c r="Y226" s="500"/>
      <c r="Z226" s="494"/>
      <c r="AA226" s="37"/>
      <c r="AB226" s="38"/>
      <c r="AC226" s="38"/>
      <c r="AD226" s="38"/>
    </row>
    <row r="227" spans="1:31" s="20" customFormat="1" ht="27" hidden="1" customHeight="1" x14ac:dyDescent="0.2">
      <c r="A227" s="335"/>
      <c r="B227" s="285"/>
      <c r="C227" s="218" t="s">
        <v>406</v>
      </c>
      <c r="D227" s="284"/>
      <c r="E227" s="286"/>
      <c r="F227" s="286"/>
      <c r="G227" s="286"/>
      <c r="H227" s="286"/>
      <c r="I227" s="286"/>
      <c r="J227" s="336"/>
      <c r="K227" s="336"/>
      <c r="L227" s="337"/>
      <c r="M227" s="9"/>
      <c r="N227" s="338"/>
      <c r="O227" s="533">
        <f>O273+O337+Q229</f>
        <v>3927632.92</v>
      </c>
      <c r="P227" s="531">
        <f>O296+Q228</f>
        <v>9694939.8000000007</v>
      </c>
      <c r="Q227" s="534">
        <f>O324</f>
        <v>213536.16</v>
      </c>
      <c r="R227" s="338">
        <f>P227+O227</f>
        <v>13622572.720000001</v>
      </c>
      <c r="S227" s="338"/>
      <c r="T227" s="338"/>
      <c r="U227" s="338"/>
      <c r="V227" s="338"/>
      <c r="W227" s="338"/>
      <c r="X227" s="338"/>
      <c r="Y227" s="174"/>
      <c r="Z227" s="72"/>
      <c r="AA227" s="18"/>
      <c r="AB227" s="22"/>
      <c r="AC227" s="22"/>
      <c r="AD227" s="22"/>
    </row>
    <row r="228" spans="1:31" s="20" customFormat="1" ht="25.5" hidden="1" x14ac:dyDescent="0.2">
      <c r="A228" s="335"/>
      <c r="B228" s="235"/>
      <c r="C228" s="219" t="s">
        <v>146</v>
      </c>
      <c r="D228" s="168"/>
      <c r="E228" s="339"/>
      <c r="F228" s="173"/>
      <c r="G228" s="340"/>
      <c r="H228" s="167"/>
      <c r="I228" s="167"/>
      <c r="J228" s="167"/>
      <c r="K228" s="167"/>
      <c r="L228" s="340"/>
      <c r="M228" s="341"/>
      <c r="N228" s="174"/>
      <c r="O228" s="174">
        <v>17204.11</v>
      </c>
      <c r="P228" s="174"/>
      <c r="Q228" s="535">
        <v>106768.08</v>
      </c>
      <c r="R228" s="174"/>
      <c r="S228" s="174"/>
      <c r="T228" s="174"/>
      <c r="U228" s="174"/>
      <c r="V228" s="174"/>
      <c r="W228" s="174"/>
      <c r="X228" s="174"/>
      <c r="Y228" s="174"/>
      <c r="AA228" s="18"/>
      <c r="AB228" s="22" t="s">
        <v>318</v>
      </c>
      <c r="AC228" s="22" t="s">
        <v>319</v>
      </c>
      <c r="AD228" s="22" t="s">
        <v>320</v>
      </c>
    </row>
    <row r="229" spans="1:31" s="20" customFormat="1" ht="25.5" hidden="1" x14ac:dyDescent="0.2">
      <c r="A229" s="335"/>
      <c r="B229" s="307"/>
      <c r="C229" s="224" t="s">
        <v>147</v>
      </c>
      <c r="D229" s="292"/>
      <c r="E229" s="170"/>
      <c r="F229" s="282"/>
      <c r="G229" s="167"/>
      <c r="H229" s="293"/>
      <c r="I229" s="293"/>
      <c r="J229" s="293"/>
      <c r="K229" s="293"/>
      <c r="L229" s="167"/>
      <c r="M229" s="171"/>
      <c r="N229" s="172"/>
      <c r="O229" s="171">
        <f>O227-O228</f>
        <v>3910428.81</v>
      </c>
      <c r="P229" s="172"/>
      <c r="Q229" s="535">
        <v>106768.08</v>
      </c>
      <c r="R229" s="172"/>
      <c r="S229" s="172"/>
      <c r="T229" s="172"/>
      <c r="U229" s="172"/>
      <c r="V229" s="172"/>
      <c r="W229" s="172"/>
      <c r="X229" s="172"/>
      <c r="Y229" s="23"/>
      <c r="Z229" s="18"/>
      <c r="AA229" s="18"/>
      <c r="AB229" s="60" t="e">
        <f>#REF!+#REF!+#REF!+N233+N234+N235+#REF!+N237+N238+N239+N240+N243+N244+N245+N246+N247+#REF!+N248+N251+N252+N254+N255+N256+N257+N258+N259+#REF!+N261+N272+#REF!+#REF!+#REF!+N299+N300+#REF!+N316+N317+#REF!</f>
        <v>#REF!</v>
      </c>
      <c r="AC229" s="19" t="e">
        <f>#REF!+#REF!+#REF!+#REF!+#REF!+#REF!+#REF!+#REF!+#REF!+#REF!+#REF!+#REF!+#REF!+#REF!+#REF!+#REF!+#REF!+#REF!+#REF!+#REF!</f>
        <v>#REF!</v>
      </c>
      <c r="AD229" s="19" t="e">
        <f>N307+N308+N309+N310+N311+N312+#REF!+#REF!+N313</f>
        <v>#REF!</v>
      </c>
    </row>
    <row r="230" spans="1:31" s="20" customFormat="1" ht="51" hidden="1" x14ac:dyDescent="0.2">
      <c r="A230" s="294">
        <f>A224+1</f>
        <v>176</v>
      </c>
      <c r="B230" s="257" t="s">
        <v>456</v>
      </c>
      <c r="C230" s="295" t="s">
        <v>457</v>
      </c>
      <c r="D230" s="296" t="s">
        <v>519</v>
      </c>
      <c r="E230" s="296">
        <v>100</v>
      </c>
      <c r="F230" s="296">
        <v>1</v>
      </c>
      <c r="G230" s="254">
        <f>F230*E230</f>
        <v>100</v>
      </c>
      <c r="H230" s="298"/>
      <c r="I230" s="299">
        <v>8.66</v>
      </c>
      <c r="J230" s="300">
        <v>1.9442999999999999</v>
      </c>
      <c r="K230" s="299">
        <f>ROUND(I230*J230,2)</f>
        <v>16.84</v>
      </c>
      <c r="L230" s="301">
        <f>ROUND(K230*G230,2)</f>
        <v>1684</v>
      </c>
      <c r="M230" s="154">
        <f>ROUND(L230*0.2,2)</f>
        <v>336.8</v>
      </c>
      <c r="N230" s="73">
        <f t="shared" ref="N230:N240" si="72">ROUND(L230+M230,2)</f>
        <v>2020.8</v>
      </c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8"/>
      <c r="Z230" s="18"/>
      <c r="AA230" s="18"/>
      <c r="AB230" s="60" t="e">
        <f>AB229*0.3/0.7</f>
        <v>#REF!</v>
      </c>
      <c r="AC230" s="22" t="e">
        <f>AC229*0.3/0.7</f>
        <v>#REF!</v>
      </c>
      <c r="AD230" s="22" t="e">
        <f>AD229*0.3/0.7</f>
        <v>#REF!</v>
      </c>
    </row>
    <row r="231" spans="1:31" s="20" customFormat="1" ht="51" hidden="1" x14ac:dyDescent="0.2">
      <c r="A231" s="294">
        <f>A230+1</f>
        <v>177</v>
      </c>
      <c r="B231" s="257" t="s">
        <v>458</v>
      </c>
      <c r="C231" s="295" t="s">
        <v>459</v>
      </c>
      <c r="D231" s="296" t="s">
        <v>3</v>
      </c>
      <c r="E231" s="296">
        <v>1</v>
      </c>
      <c r="F231" s="296">
        <v>1</v>
      </c>
      <c r="G231" s="254">
        <f>F231*E231</f>
        <v>1</v>
      </c>
      <c r="H231" s="298"/>
      <c r="I231" s="299">
        <v>55423.41</v>
      </c>
      <c r="J231" s="300">
        <v>1.9442999999999999</v>
      </c>
      <c r="K231" s="299">
        <f>ROUND(I231*J231,2)</f>
        <v>107759.74</v>
      </c>
      <c r="L231" s="301">
        <f>ROUND(K231*G231,2)</f>
        <v>107759.74</v>
      </c>
      <c r="M231" s="154">
        <f>ROUND(L231*0.2,2)</f>
        <v>21551.95</v>
      </c>
      <c r="N231" s="73">
        <f t="shared" si="72"/>
        <v>129311.69</v>
      </c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23"/>
      <c r="Z231" s="18"/>
      <c r="AA231" s="18"/>
      <c r="AB231" s="60"/>
      <c r="AC231" s="22"/>
      <c r="AD231" s="22"/>
    </row>
    <row r="232" spans="1:31" s="20" customFormat="1" ht="51" hidden="1" x14ac:dyDescent="0.2">
      <c r="A232" s="294">
        <f>A231+1</f>
        <v>178</v>
      </c>
      <c r="B232" s="257" t="s">
        <v>460</v>
      </c>
      <c r="C232" s="295" t="s">
        <v>461</v>
      </c>
      <c r="D232" s="296" t="s">
        <v>4</v>
      </c>
      <c r="E232" s="296">
        <v>1</v>
      </c>
      <c r="F232" s="296">
        <v>1</v>
      </c>
      <c r="G232" s="254">
        <f>F232*E232</f>
        <v>1</v>
      </c>
      <c r="H232" s="298"/>
      <c r="I232" s="299">
        <v>1959.47</v>
      </c>
      <c r="J232" s="300">
        <v>1.9442999999999999</v>
      </c>
      <c r="K232" s="299">
        <f>ROUND(I232*J232,2)</f>
        <v>3809.8</v>
      </c>
      <c r="L232" s="301">
        <f>ROUND(K232*G232,2)</f>
        <v>3809.8</v>
      </c>
      <c r="M232" s="154">
        <f>ROUND(L232*0.2,2)</f>
        <v>761.96</v>
      </c>
      <c r="N232" s="73">
        <f t="shared" si="72"/>
        <v>4571.76</v>
      </c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8"/>
      <c r="Z232" s="18"/>
      <c r="AA232" s="18"/>
      <c r="AB232" s="60"/>
      <c r="AC232" s="22"/>
      <c r="AD232" s="22"/>
    </row>
    <row r="233" spans="1:31" s="20" customFormat="1" ht="76.5" hidden="1" x14ac:dyDescent="0.2">
      <c r="A233" s="294">
        <f>A232+1</f>
        <v>179</v>
      </c>
      <c r="B233" s="257" t="s">
        <v>148</v>
      </c>
      <c r="C233" s="302" t="s">
        <v>76</v>
      </c>
      <c r="D233" s="254" t="s">
        <v>354</v>
      </c>
      <c r="E233" s="254">
        <v>65.691999999999993</v>
      </c>
      <c r="F233" s="254">
        <v>1</v>
      </c>
      <c r="G233" s="254">
        <f t="shared" ref="G233:G241" si="73">ROUND(E233*F233,2)</f>
        <v>65.69</v>
      </c>
      <c r="H233" s="254"/>
      <c r="I233" s="299">
        <v>343.08</v>
      </c>
      <c r="J233" s="300">
        <v>1.9442999999999999</v>
      </c>
      <c r="K233" s="299">
        <f t="shared" ref="K233:K240" si="74">ROUND(I233*J233,2)</f>
        <v>667.05</v>
      </c>
      <c r="L233" s="301">
        <f t="shared" ref="L233:L240" si="75">ROUND(K233*G233,2)</f>
        <v>43818.51</v>
      </c>
      <c r="M233" s="154">
        <f t="shared" ref="M233:M240" si="76">ROUND(L233*0.2,2)</f>
        <v>8763.7000000000007</v>
      </c>
      <c r="N233" s="73">
        <f t="shared" si="72"/>
        <v>52582.21</v>
      </c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23"/>
      <c r="AA233" s="18"/>
      <c r="AB233" s="60"/>
      <c r="AC233" s="22"/>
      <c r="AD233" s="22"/>
    </row>
    <row r="234" spans="1:31" s="20" customFormat="1" ht="84" hidden="1" customHeight="1" x14ac:dyDescent="0.2">
      <c r="A234" s="294">
        <f t="shared" ref="A234:A240" si="77">A233+1</f>
        <v>180</v>
      </c>
      <c r="B234" s="257" t="s">
        <v>150</v>
      </c>
      <c r="C234" s="302" t="s">
        <v>195</v>
      </c>
      <c r="D234" s="254" t="s">
        <v>354</v>
      </c>
      <c r="E234" s="254">
        <v>158.62</v>
      </c>
      <c r="F234" s="254">
        <v>3</v>
      </c>
      <c r="G234" s="254">
        <f t="shared" si="73"/>
        <v>475.86</v>
      </c>
      <c r="H234" s="254"/>
      <c r="I234" s="299">
        <v>188.57</v>
      </c>
      <c r="J234" s="300">
        <v>1.9442999999999999</v>
      </c>
      <c r="K234" s="299">
        <f t="shared" si="74"/>
        <v>366.64</v>
      </c>
      <c r="L234" s="301">
        <f t="shared" si="75"/>
        <v>174469.31</v>
      </c>
      <c r="M234" s="154">
        <f t="shared" si="76"/>
        <v>34893.86</v>
      </c>
      <c r="N234" s="73">
        <f t="shared" si="72"/>
        <v>209363.17</v>
      </c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64"/>
      <c r="Z234" s="9"/>
      <c r="AA234" s="18"/>
      <c r="AB234" s="19" t="e">
        <f>#REF!+#REF!</f>
        <v>#REF!</v>
      </c>
      <c r="AC234" s="22"/>
      <c r="AD234" s="22"/>
      <c r="AE234" s="40" t="e">
        <f>#REF!-#REF!</f>
        <v>#REF!</v>
      </c>
    </row>
    <row r="235" spans="1:31" s="20" customFormat="1" ht="76.5" hidden="1" x14ac:dyDescent="0.2">
      <c r="A235" s="294">
        <f>A234+1</f>
        <v>181</v>
      </c>
      <c r="B235" s="257" t="s">
        <v>150</v>
      </c>
      <c r="C235" s="302" t="s">
        <v>78</v>
      </c>
      <c r="D235" s="254" t="s">
        <v>354</v>
      </c>
      <c r="E235" s="254">
        <v>364.76</v>
      </c>
      <c r="F235" s="254">
        <v>2</v>
      </c>
      <c r="G235" s="254">
        <f t="shared" si="73"/>
        <v>729.52</v>
      </c>
      <c r="H235" s="254"/>
      <c r="I235" s="299">
        <v>188.57</v>
      </c>
      <c r="J235" s="300">
        <v>1.9442999999999999</v>
      </c>
      <c r="K235" s="299">
        <f>ROUND(I235*J235,2)</f>
        <v>366.64</v>
      </c>
      <c r="L235" s="301">
        <f t="shared" si="75"/>
        <v>267471.21000000002</v>
      </c>
      <c r="M235" s="154">
        <f t="shared" si="76"/>
        <v>53494.239999999998</v>
      </c>
      <c r="N235" s="73">
        <f t="shared" si="72"/>
        <v>320965.45</v>
      </c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64"/>
      <c r="Z235" s="9"/>
      <c r="AA235" s="495"/>
      <c r="AB235" s="22">
        <f>9731901.7+2.86</f>
        <v>9731904.5599999987</v>
      </c>
      <c r="AC235" s="22"/>
      <c r="AD235" s="22"/>
      <c r="AE235" s="40" t="e">
        <f>AB235+#REF!+#REF!</f>
        <v>#REF!</v>
      </c>
    </row>
    <row r="236" spans="1:31" s="20" customFormat="1" ht="76.5" hidden="1" x14ac:dyDescent="0.2">
      <c r="A236" s="294">
        <f>A235+1</f>
        <v>182</v>
      </c>
      <c r="B236" s="257" t="s">
        <v>150</v>
      </c>
      <c r="C236" s="302" t="s">
        <v>79</v>
      </c>
      <c r="D236" s="299" t="s">
        <v>425</v>
      </c>
      <c r="E236" s="299">
        <v>133.54</v>
      </c>
      <c r="F236" s="254">
        <v>1</v>
      </c>
      <c r="G236" s="299">
        <f t="shared" si="73"/>
        <v>133.54</v>
      </c>
      <c r="H236" s="254"/>
      <c r="I236" s="299">
        <v>188.57</v>
      </c>
      <c r="J236" s="300">
        <v>1.9442999999999999</v>
      </c>
      <c r="K236" s="299">
        <f>ROUND(I236*J236,2)</f>
        <v>366.64</v>
      </c>
      <c r="L236" s="301">
        <f>ROUND(K236*G236,2)</f>
        <v>48961.11</v>
      </c>
      <c r="M236" s="154">
        <f>ROUND(L236*0.2,2)</f>
        <v>9792.2199999999993</v>
      </c>
      <c r="N236" s="73">
        <f t="shared" si="72"/>
        <v>58753.33</v>
      </c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64"/>
      <c r="Z236" s="9"/>
      <c r="AA236" s="18"/>
      <c r="AB236" s="22"/>
      <c r="AC236" s="22"/>
      <c r="AD236" s="22"/>
    </row>
    <row r="237" spans="1:31" s="20" customFormat="1" ht="76.5" hidden="1" x14ac:dyDescent="0.2">
      <c r="A237" s="294">
        <f>A236+1</f>
        <v>183</v>
      </c>
      <c r="B237" s="257" t="s">
        <v>151</v>
      </c>
      <c r="C237" s="257" t="s">
        <v>64</v>
      </c>
      <c r="D237" s="254" t="s">
        <v>411</v>
      </c>
      <c r="E237" s="254">
        <f>24.18+28.85+0.12</f>
        <v>53.15</v>
      </c>
      <c r="F237" s="254">
        <v>2</v>
      </c>
      <c r="G237" s="254">
        <f>ROUND(E237*F237,2)</f>
        <v>106.3</v>
      </c>
      <c r="H237" s="254"/>
      <c r="I237" s="299">
        <v>44.32</v>
      </c>
      <c r="J237" s="300">
        <v>1.9442999999999999</v>
      </c>
      <c r="K237" s="299">
        <f t="shared" si="74"/>
        <v>86.17</v>
      </c>
      <c r="L237" s="301">
        <f t="shared" si="75"/>
        <v>9159.8700000000008</v>
      </c>
      <c r="M237" s="154">
        <f t="shared" si="76"/>
        <v>1831.97</v>
      </c>
      <c r="N237" s="73">
        <f t="shared" si="72"/>
        <v>10991.84</v>
      </c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64"/>
      <c r="Z237" s="9"/>
      <c r="AA237" s="18"/>
      <c r="AB237" s="22"/>
      <c r="AC237" s="22"/>
      <c r="AD237" s="22"/>
    </row>
    <row r="238" spans="1:31" s="20" customFormat="1" ht="76.5" hidden="1" x14ac:dyDescent="0.2">
      <c r="A238" s="335">
        <f t="shared" si="77"/>
        <v>184</v>
      </c>
      <c r="B238" s="257" t="s">
        <v>152</v>
      </c>
      <c r="C238" s="302" t="s">
        <v>80</v>
      </c>
      <c r="D238" s="254" t="s">
        <v>411</v>
      </c>
      <c r="E238" s="254">
        <v>10.44</v>
      </c>
      <c r="F238" s="254">
        <v>2</v>
      </c>
      <c r="G238" s="254">
        <f t="shared" si="73"/>
        <v>20.88</v>
      </c>
      <c r="H238" s="254"/>
      <c r="I238" s="299">
        <v>66.5</v>
      </c>
      <c r="J238" s="300">
        <v>1.9442999999999999</v>
      </c>
      <c r="K238" s="299">
        <f t="shared" si="74"/>
        <v>129.30000000000001</v>
      </c>
      <c r="L238" s="301">
        <f t="shared" si="75"/>
        <v>2699.78</v>
      </c>
      <c r="M238" s="154">
        <f t="shared" si="76"/>
        <v>539.96</v>
      </c>
      <c r="N238" s="73">
        <f t="shared" si="72"/>
        <v>3239.74</v>
      </c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64"/>
      <c r="Z238" s="9"/>
      <c r="AA238" s="18"/>
      <c r="AB238" s="22"/>
      <c r="AC238" s="22"/>
      <c r="AD238" s="22"/>
    </row>
    <row r="239" spans="1:31" s="20" customFormat="1" ht="76.5" hidden="1" x14ac:dyDescent="0.2">
      <c r="A239" s="335">
        <f t="shared" si="77"/>
        <v>185</v>
      </c>
      <c r="B239" s="257" t="s">
        <v>153</v>
      </c>
      <c r="C239" s="302" t="s">
        <v>315</v>
      </c>
      <c r="D239" s="254" t="s">
        <v>422</v>
      </c>
      <c r="E239" s="254">
        <v>4</v>
      </c>
      <c r="F239" s="254">
        <v>3</v>
      </c>
      <c r="G239" s="254">
        <f t="shared" si="73"/>
        <v>12</v>
      </c>
      <c r="H239" s="254"/>
      <c r="I239" s="299">
        <v>218.45</v>
      </c>
      <c r="J239" s="300">
        <v>1.9442999999999999</v>
      </c>
      <c r="K239" s="299">
        <f t="shared" si="74"/>
        <v>424.73</v>
      </c>
      <c r="L239" s="301">
        <f t="shared" si="75"/>
        <v>5096.76</v>
      </c>
      <c r="M239" s="154">
        <f t="shared" si="76"/>
        <v>1019.35</v>
      </c>
      <c r="N239" s="73">
        <f t="shared" si="72"/>
        <v>6116.11</v>
      </c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64"/>
      <c r="Z239" s="9"/>
      <c r="AA239" s="18"/>
      <c r="AB239" s="22"/>
      <c r="AC239" s="22"/>
      <c r="AD239" s="22"/>
    </row>
    <row r="240" spans="1:31" s="20" customFormat="1" ht="45" hidden="1" customHeight="1" x14ac:dyDescent="0.2">
      <c r="A240" s="335">
        <f t="shared" si="77"/>
        <v>186</v>
      </c>
      <c r="B240" s="257" t="s">
        <v>154</v>
      </c>
      <c r="C240" s="302" t="s">
        <v>314</v>
      </c>
      <c r="D240" s="254" t="s">
        <v>354</v>
      </c>
      <c r="E240" s="254">
        <v>261.69</v>
      </c>
      <c r="F240" s="254">
        <v>2</v>
      </c>
      <c r="G240" s="254">
        <f t="shared" si="73"/>
        <v>523.38</v>
      </c>
      <c r="H240" s="254"/>
      <c r="I240" s="299">
        <v>175.05</v>
      </c>
      <c r="J240" s="300">
        <v>1.9442999999999999</v>
      </c>
      <c r="K240" s="299">
        <f t="shared" si="74"/>
        <v>340.35</v>
      </c>
      <c r="L240" s="301">
        <f t="shared" si="75"/>
        <v>178132.38</v>
      </c>
      <c r="M240" s="154">
        <f t="shared" si="76"/>
        <v>35626.480000000003</v>
      </c>
      <c r="N240" s="73">
        <f t="shared" si="72"/>
        <v>213758.86</v>
      </c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64"/>
      <c r="Z240" s="9"/>
      <c r="AA240" s="18"/>
      <c r="AB240" s="22"/>
      <c r="AC240" s="22"/>
      <c r="AD240" s="22"/>
    </row>
    <row r="241" spans="1:30" s="185" customFormat="1" ht="54" hidden="1" customHeight="1" x14ac:dyDescent="0.2">
      <c r="A241" s="335">
        <f>A240+1</f>
        <v>187</v>
      </c>
      <c r="B241" s="342" t="s">
        <v>505</v>
      </c>
      <c r="C241" s="257" t="s">
        <v>504</v>
      </c>
      <c r="D241" s="254" t="s">
        <v>355</v>
      </c>
      <c r="E241" s="254">
        <v>3</v>
      </c>
      <c r="F241" s="254">
        <v>2</v>
      </c>
      <c r="G241" s="254">
        <f t="shared" si="73"/>
        <v>6</v>
      </c>
      <c r="H241" s="299"/>
      <c r="I241" s="306"/>
      <c r="J241" s="300"/>
      <c r="K241" s="299">
        <v>4405.2299999999996</v>
      </c>
      <c r="L241" s="301">
        <f>ROUND(K241*G241,2)</f>
        <v>26431.38</v>
      </c>
      <c r="M241" s="154">
        <f>ROUND(L241*0.2,2)</f>
        <v>5286.28</v>
      </c>
      <c r="N241" s="73">
        <f>ROUND(M241+L241,2)</f>
        <v>31717.66</v>
      </c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62"/>
      <c r="Z241" s="9"/>
      <c r="AA241" s="53"/>
    </row>
    <row r="242" spans="1:30" s="20" customFormat="1" ht="12.75" hidden="1" x14ac:dyDescent="0.2">
      <c r="A242" s="335"/>
      <c r="B242" s="257"/>
      <c r="C242" s="224" t="s">
        <v>81</v>
      </c>
      <c r="D242" s="254"/>
      <c r="E242" s="254"/>
      <c r="F242" s="254"/>
      <c r="G242" s="254"/>
      <c r="H242" s="254"/>
      <c r="I242" s="254"/>
      <c r="J242" s="300"/>
      <c r="K242" s="254"/>
      <c r="L242" s="254"/>
      <c r="M242" s="34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64"/>
      <c r="Z242" s="9"/>
      <c r="AA242" s="18"/>
      <c r="AB242" s="22"/>
      <c r="AC242" s="22"/>
      <c r="AD242" s="22"/>
    </row>
    <row r="243" spans="1:30" s="20" customFormat="1" ht="89.25" hidden="1" customHeight="1" x14ac:dyDescent="0.2">
      <c r="A243" s="335">
        <f>A241+1</f>
        <v>188</v>
      </c>
      <c r="B243" s="257" t="s">
        <v>196</v>
      </c>
      <c r="C243" s="302" t="s">
        <v>107</v>
      </c>
      <c r="D243" s="254" t="s">
        <v>411</v>
      </c>
      <c r="E243" s="254">
        <f>18.68*0.1</f>
        <v>1.8680000000000001</v>
      </c>
      <c r="F243" s="254">
        <v>1</v>
      </c>
      <c r="G243" s="254">
        <f t="shared" ref="G243:G249" si="78">ROUND(E243*F243,2)</f>
        <v>1.87</v>
      </c>
      <c r="H243" s="254"/>
      <c r="I243" s="299">
        <v>64649.39</v>
      </c>
      <c r="J243" s="300">
        <v>1.9442999999999999</v>
      </c>
      <c r="K243" s="299">
        <f t="shared" ref="K243:K249" si="79">ROUND(I243*J243,2)</f>
        <v>125697.81</v>
      </c>
      <c r="L243" s="301">
        <f t="shared" ref="L243:L248" si="80">ROUND(K243*G243,2)</f>
        <v>235054.9</v>
      </c>
      <c r="M243" s="154">
        <f t="shared" ref="M243:M249" si="81">ROUND(L243*0.2,2)</f>
        <v>47010.98</v>
      </c>
      <c r="N243" s="73">
        <f t="shared" ref="N243:N249" si="82">ROUND(L243+M243,2)</f>
        <v>282065.88</v>
      </c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64"/>
      <c r="Z243" s="9"/>
      <c r="AA243" s="18"/>
      <c r="AB243" s="22"/>
      <c r="AC243" s="22"/>
      <c r="AD243" s="22"/>
    </row>
    <row r="244" spans="1:30" s="20" customFormat="1" ht="30.75" hidden="1" customHeight="1" x14ac:dyDescent="0.2">
      <c r="A244" s="335">
        <f t="shared" ref="A244:A249" si="83">A243+1</f>
        <v>189</v>
      </c>
      <c r="B244" s="257" t="s">
        <v>197</v>
      </c>
      <c r="C244" s="302" t="s">
        <v>108</v>
      </c>
      <c r="D244" s="254" t="s">
        <v>411</v>
      </c>
      <c r="E244" s="254">
        <f>13.98*0.1</f>
        <v>1.3980000000000001</v>
      </c>
      <c r="F244" s="254">
        <v>1</v>
      </c>
      <c r="G244" s="254">
        <f>ROUND(E244*F244,2)</f>
        <v>1.4</v>
      </c>
      <c r="H244" s="254"/>
      <c r="I244" s="299">
        <v>77125.899999999994</v>
      </c>
      <c r="J244" s="300">
        <v>1.9442999999999999</v>
      </c>
      <c r="K244" s="299">
        <f t="shared" si="79"/>
        <v>149955.89000000001</v>
      </c>
      <c r="L244" s="301">
        <f t="shared" si="80"/>
        <v>209938.25</v>
      </c>
      <c r="M244" s="154">
        <f t="shared" si="81"/>
        <v>41987.65</v>
      </c>
      <c r="N244" s="73">
        <f t="shared" si="82"/>
        <v>251925.9</v>
      </c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64"/>
      <c r="Z244" s="9"/>
      <c r="AA244" s="79"/>
      <c r="AB244" s="63">
        <f>1867249*0.0005/100</f>
        <v>9.3362449999999999</v>
      </c>
      <c r="AC244" s="22" t="s">
        <v>321</v>
      </c>
      <c r="AD244" s="22"/>
    </row>
    <row r="245" spans="1:30" s="20" customFormat="1" ht="76.5" hidden="1" x14ac:dyDescent="0.2">
      <c r="A245" s="335">
        <f t="shared" si="83"/>
        <v>190</v>
      </c>
      <c r="B245" s="257" t="s">
        <v>156</v>
      </c>
      <c r="C245" s="302" t="s">
        <v>103</v>
      </c>
      <c r="D245" s="254" t="s">
        <v>437</v>
      </c>
      <c r="E245" s="254">
        <f>1908*0.1</f>
        <v>190.8</v>
      </c>
      <c r="F245" s="254">
        <v>1</v>
      </c>
      <c r="G245" s="254">
        <f t="shared" si="78"/>
        <v>190.8</v>
      </c>
      <c r="H245" s="254"/>
      <c r="I245" s="299">
        <v>315.70999999999998</v>
      </c>
      <c r="J245" s="300">
        <v>1.9442999999999999</v>
      </c>
      <c r="K245" s="299">
        <f t="shared" si="79"/>
        <v>613.83000000000004</v>
      </c>
      <c r="L245" s="301">
        <f t="shared" si="80"/>
        <v>117118.76</v>
      </c>
      <c r="M245" s="154">
        <f t="shared" si="81"/>
        <v>23423.75</v>
      </c>
      <c r="N245" s="73">
        <f t="shared" si="82"/>
        <v>140542.51</v>
      </c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64"/>
      <c r="Z245" s="9"/>
      <c r="AA245" s="18"/>
      <c r="AB245" s="22">
        <f>AB244/2</f>
        <v>4.6681225</v>
      </c>
      <c r="AC245" s="22"/>
      <c r="AD245" s="22"/>
    </row>
    <row r="246" spans="1:30" s="20" customFormat="1" ht="89.25" hidden="1" x14ac:dyDescent="0.2">
      <c r="A246" s="335">
        <f t="shared" si="83"/>
        <v>191</v>
      </c>
      <c r="B246" s="257" t="s">
        <v>158</v>
      </c>
      <c r="C246" s="302" t="s">
        <v>82</v>
      </c>
      <c r="D246" s="254" t="s">
        <v>438</v>
      </c>
      <c r="E246" s="254">
        <f>3145*0.3</f>
        <v>943.5</v>
      </c>
      <c r="F246" s="254">
        <v>1</v>
      </c>
      <c r="G246" s="254">
        <f t="shared" si="78"/>
        <v>943.5</v>
      </c>
      <c r="H246" s="254"/>
      <c r="I246" s="299">
        <v>35.799999999999997</v>
      </c>
      <c r="J246" s="300">
        <v>1.9442999999999999</v>
      </c>
      <c r="K246" s="299">
        <f t="shared" si="79"/>
        <v>69.61</v>
      </c>
      <c r="L246" s="301">
        <f t="shared" si="80"/>
        <v>65677.039999999994</v>
      </c>
      <c r="M246" s="154">
        <f t="shared" si="81"/>
        <v>13135.41</v>
      </c>
      <c r="N246" s="73">
        <f t="shared" si="82"/>
        <v>78812.45</v>
      </c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64"/>
      <c r="Z246" s="9"/>
      <c r="AA246" s="79"/>
      <c r="AB246" s="22"/>
      <c r="AC246" s="22"/>
      <c r="AD246" s="22"/>
    </row>
    <row r="247" spans="1:30" s="20" customFormat="1" ht="153" hidden="1" customHeight="1" x14ac:dyDescent="0.2">
      <c r="A247" s="335">
        <f t="shared" si="83"/>
        <v>192</v>
      </c>
      <c r="B247" s="257" t="s">
        <v>160</v>
      </c>
      <c r="C247" s="302" t="s">
        <v>110</v>
      </c>
      <c r="D247" s="254" t="s">
        <v>439</v>
      </c>
      <c r="E247" s="254">
        <v>400.62</v>
      </c>
      <c r="F247" s="254">
        <v>3</v>
      </c>
      <c r="G247" s="254">
        <f t="shared" si="78"/>
        <v>1201.8599999999999</v>
      </c>
      <c r="H247" s="254"/>
      <c r="I247" s="299">
        <v>283.41000000000003</v>
      </c>
      <c r="J247" s="300">
        <v>1.9442999999999999</v>
      </c>
      <c r="K247" s="299">
        <f t="shared" si="79"/>
        <v>551.03</v>
      </c>
      <c r="L247" s="301">
        <f t="shared" si="80"/>
        <v>662260.92000000004</v>
      </c>
      <c r="M247" s="154">
        <f t="shared" si="81"/>
        <v>132452.18</v>
      </c>
      <c r="N247" s="73">
        <f t="shared" si="82"/>
        <v>794713.1</v>
      </c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64"/>
      <c r="Z247" s="9"/>
      <c r="AA247" s="18"/>
      <c r="AB247" s="22"/>
      <c r="AC247" s="22"/>
      <c r="AD247" s="22"/>
    </row>
    <row r="248" spans="1:30" s="20" customFormat="1" ht="105.75" hidden="1" customHeight="1" x14ac:dyDescent="0.2">
      <c r="A248" s="335">
        <f t="shared" si="83"/>
        <v>193</v>
      </c>
      <c r="B248" s="257" t="s">
        <v>198</v>
      </c>
      <c r="C248" s="302" t="s">
        <v>109</v>
      </c>
      <c r="D248" s="254" t="s">
        <v>439</v>
      </c>
      <c r="E248" s="254">
        <f>2.53*0.5</f>
        <v>1.2649999999999999</v>
      </c>
      <c r="F248" s="254">
        <v>1</v>
      </c>
      <c r="G248" s="254">
        <f t="shared" si="78"/>
        <v>1.27</v>
      </c>
      <c r="H248" s="254"/>
      <c r="I248" s="299">
        <v>11575.11</v>
      </c>
      <c r="J248" s="300">
        <v>1.9442999999999999</v>
      </c>
      <c r="K248" s="299">
        <f t="shared" si="79"/>
        <v>22505.49</v>
      </c>
      <c r="L248" s="301">
        <f t="shared" si="80"/>
        <v>28581.97</v>
      </c>
      <c r="M248" s="154">
        <f t="shared" si="81"/>
        <v>5716.39</v>
      </c>
      <c r="N248" s="73">
        <f t="shared" si="82"/>
        <v>34298.36</v>
      </c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64"/>
      <c r="Z248" s="9"/>
      <c r="AA248" s="18"/>
      <c r="AB248" s="22"/>
      <c r="AC248" s="22"/>
      <c r="AD248" s="22"/>
    </row>
    <row r="249" spans="1:30" s="20" customFormat="1" ht="51" hidden="1" x14ac:dyDescent="0.2">
      <c r="A249" s="335">
        <f t="shared" si="83"/>
        <v>194</v>
      </c>
      <c r="B249" s="257" t="s">
        <v>463</v>
      </c>
      <c r="C249" s="344" t="s">
        <v>464</v>
      </c>
      <c r="D249" s="299" t="s">
        <v>118</v>
      </c>
      <c r="E249" s="254">
        <v>1</v>
      </c>
      <c r="F249" s="254">
        <v>1</v>
      </c>
      <c r="G249" s="254">
        <f t="shared" si="78"/>
        <v>1</v>
      </c>
      <c r="H249" s="299"/>
      <c r="I249" s="299">
        <v>38457.4</v>
      </c>
      <c r="J249" s="300">
        <v>1.9442999999999999</v>
      </c>
      <c r="K249" s="299">
        <f t="shared" si="79"/>
        <v>74772.72</v>
      </c>
      <c r="L249" s="301">
        <f>ROUND(K249*G249,2)</f>
        <v>74772.72</v>
      </c>
      <c r="M249" s="154">
        <f t="shared" si="81"/>
        <v>14954.54</v>
      </c>
      <c r="N249" s="73">
        <f t="shared" si="82"/>
        <v>89727.26</v>
      </c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64"/>
      <c r="Z249" s="9"/>
      <c r="AA249" s="18"/>
      <c r="AB249" s="22"/>
      <c r="AC249" s="22"/>
      <c r="AD249" s="22"/>
    </row>
    <row r="250" spans="1:30" s="20" customFormat="1" ht="25.5" hidden="1" x14ac:dyDescent="0.2">
      <c r="A250" s="335"/>
      <c r="B250" s="257"/>
      <c r="C250" s="224" t="s">
        <v>83</v>
      </c>
      <c r="D250" s="254"/>
      <c r="E250" s="254"/>
      <c r="F250" s="254"/>
      <c r="G250" s="254"/>
      <c r="H250" s="254"/>
      <c r="I250" s="299"/>
      <c r="J250" s="300"/>
      <c r="K250" s="299"/>
      <c r="L250" s="301"/>
      <c r="M250" s="154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64"/>
      <c r="Z250" s="9"/>
      <c r="AA250" s="18"/>
      <c r="AB250" s="22"/>
      <c r="AC250" s="22"/>
      <c r="AD250" s="22"/>
    </row>
    <row r="251" spans="1:30" s="20" customFormat="1" ht="76.5" hidden="1" x14ac:dyDescent="0.2">
      <c r="A251" s="335">
        <f>A249+1</f>
        <v>195</v>
      </c>
      <c r="B251" s="257" t="s">
        <v>161</v>
      </c>
      <c r="C251" s="302" t="s">
        <v>84</v>
      </c>
      <c r="D251" s="254" t="s">
        <v>433</v>
      </c>
      <c r="E251" s="254">
        <f>1044*0.1</f>
        <v>104.4</v>
      </c>
      <c r="F251" s="254">
        <v>1</v>
      </c>
      <c r="G251" s="254">
        <f>ROUND(E251*F251,2)</f>
        <v>104.4</v>
      </c>
      <c r="H251" s="254"/>
      <c r="I251" s="299">
        <v>77.2</v>
      </c>
      <c r="J251" s="300">
        <v>1.9442999999999999</v>
      </c>
      <c r="K251" s="299">
        <f>ROUND(I251*J251,2)</f>
        <v>150.1</v>
      </c>
      <c r="L251" s="301">
        <f>ROUND(K251*G251,2)</f>
        <v>15670.44</v>
      </c>
      <c r="M251" s="154">
        <f>ROUND(L251*0.2,2)</f>
        <v>3134.09</v>
      </c>
      <c r="N251" s="73">
        <f>ROUND(L251+M251,2)</f>
        <v>18804.53</v>
      </c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64"/>
      <c r="Z251" s="9"/>
      <c r="AA251" s="18"/>
      <c r="AB251" s="22"/>
      <c r="AC251" s="22"/>
      <c r="AD251" s="22"/>
    </row>
    <row r="252" spans="1:30" s="20" customFormat="1" ht="76.5" hidden="1" x14ac:dyDescent="0.2">
      <c r="A252" s="335">
        <f>A251+1</f>
        <v>196</v>
      </c>
      <c r="B252" s="257" t="s">
        <v>199</v>
      </c>
      <c r="C252" s="302" t="s">
        <v>85</v>
      </c>
      <c r="D252" s="254" t="s">
        <v>440</v>
      </c>
      <c r="E252" s="254">
        <f>147*0.1</f>
        <v>14.700000000000001</v>
      </c>
      <c r="F252" s="254">
        <v>1</v>
      </c>
      <c r="G252" s="254">
        <f>ROUND(E252*F252,2)</f>
        <v>14.7</v>
      </c>
      <c r="H252" s="254"/>
      <c r="I252" s="299">
        <v>1547.81</v>
      </c>
      <c r="J252" s="300">
        <v>1.9442999999999999</v>
      </c>
      <c r="K252" s="299">
        <f>ROUND(I252*J252,2)</f>
        <v>3009.41</v>
      </c>
      <c r="L252" s="301">
        <f>ROUND(K252*G252,2)</f>
        <v>44238.33</v>
      </c>
      <c r="M252" s="154">
        <f>ROUND(L252*0.2,2)</f>
        <v>8847.67</v>
      </c>
      <c r="N252" s="73">
        <f>ROUND(L252+M252,2)</f>
        <v>53086</v>
      </c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64"/>
      <c r="Z252" s="9"/>
      <c r="AA252" s="18"/>
      <c r="AB252" s="22"/>
      <c r="AC252" s="22"/>
      <c r="AD252" s="22"/>
    </row>
    <row r="253" spans="1:30" s="20" customFormat="1" ht="38.25" hidden="1" x14ac:dyDescent="0.2">
      <c r="A253" s="335"/>
      <c r="B253" s="257"/>
      <c r="C253" s="224" t="s">
        <v>86</v>
      </c>
      <c r="D253" s="254"/>
      <c r="E253" s="254"/>
      <c r="F253" s="254"/>
      <c r="G253" s="254"/>
      <c r="H253" s="254"/>
      <c r="I253" s="299"/>
      <c r="J253" s="300"/>
      <c r="K253" s="299"/>
      <c r="L253" s="301"/>
      <c r="M253" s="154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64"/>
      <c r="Z253" s="9"/>
      <c r="AA253" s="18"/>
      <c r="AB253" s="22"/>
      <c r="AC253" s="22"/>
      <c r="AD253" s="22"/>
    </row>
    <row r="254" spans="1:30" s="20" customFormat="1" ht="76.5" hidden="1" x14ac:dyDescent="0.2">
      <c r="A254" s="335">
        <f>A252+1</f>
        <v>197</v>
      </c>
      <c r="B254" s="257" t="s">
        <v>163</v>
      </c>
      <c r="C254" s="302" t="s">
        <v>87</v>
      </c>
      <c r="D254" s="254" t="s">
        <v>422</v>
      </c>
      <c r="E254" s="254">
        <f>522-500</f>
        <v>22</v>
      </c>
      <c r="F254" s="254">
        <v>1</v>
      </c>
      <c r="G254" s="254">
        <f t="shared" ref="G254:G272" si="84">ROUND(E254*F254,2)</f>
        <v>22</v>
      </c>
      <c r="H254" s="254"/>
      <c r="I254" s="299">
        <v>108.09</v>
      </c>
      <c r="J254" s="300">
        <v>1.9442999999999999</v>
      </c>
      <c r="K254" s="299">
        <f t="shared" ref="K254:K270" si="85">ROUND(I254*J254,2)</f>
        <v>210.16</v>
      </c>
      <c r="L254" s="301">
        <f t="shared" ref="L254:L270" si="86">ROUND(K254*G254,2)</f>
        <v>4623.5200000000004</v>
      </c>
      <c r="M254" s="154">
        <f t="shared" ref="M254:M270" si="87">ROUND(L254*0.2,2)</f>
        <v>924.7</v>
      </c>
      <c r="N254" s="73">
        <f t="shared" ref="N254:N269" si="88">ROUND(L254+M254,2)</f>
        <v>5548.22</v>
      </c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64"/>
      <c r="Z254" s="9"/>
      <c r="AA254" s="18"/>
      <c r="AB254" s="22"/>
      <c r="AC254" s="22"/>
      <c r="AD254" s="22"/>
    </row>
    <row r="255" spans="1:30" s="20" customFormat="1" ht="76.5" hidden="1" x14ac:dyDescent="0.2">
      <c r="A255" s="335">
        <f t="shared" ref="A255:A269" si="89">A254+1</f>
        <v>198</v>
      </c>
      <c r="B255" s="257" t="s">
        <v>166</v>
      </c>
      <c r="C255" s="302" t="s">
        <v>111</v>
      </c>
      <c r="D255" s="254" t="s">
        <v>422</v>
      </c>
      <c r="E255" s="254">
        <f>48*0.5</f>
        <v>24</v>
      </c>
      <c r="F255" s="254">
        <v>1</v>
      </c>
      <c r="G255" s="254">
        <f t="shared" si="84"/>
        <v>24</v>
      </c>
      <c r="H255" s="254"/>
      <c r="I255" s="299">
        <v>3286.73</v>
      </c>
      <c r="J255" s="300">
        <v>1.9442999999999999</v>
      </c>
      <c r="K255" s="299">
        <f t="shared" si="85"/>
        <v>6390.39</v>
      </c>
      <c r="L255" s="301">
        <f t="shared" si="86"/>
        <v>153369.35999999999</v>
      </c>
      <c r="M255" s="154">
        <f t="shared" si="87"/>
        <v>30673.87</v>
      </c>
      <c r="N255" s="73">
        <f t="shared" si="88"/>
        <v>184043.23</v>
      </c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64"/>
      <c r="Z255" s="9"/>
      <c r="AA255" s="18"/>
      <c r="AB255" s="22"/>
      <c r="AC255" s="22"/>
      <c r="AD255" s="22"/>
    </row>
    <row r="256" spans="1:30" s="20" customFormat="1" ht="76.5" hidden="1" x14ac:dyDescent="0.2">
      <c r="A256" s="335">
        <f t="shared" si="89"/>
        <v>199</v>
      </c>
      <c r="B256" s="257" t="s">
        <v>502</v>
      </c>
      <c r="C256" s="257" t="s">
        <v>506</v>
      </c>
      <c r="D256" s="254" t="s">
        <v>422</v>
      </c>
      <c r="E256" s="254">
        <f>15*0.4</f>
        <v>6</v>
      </c>
      <c r="F256" s="254">
        <v>1</v>
      </c>
      <c r="G256" s="254">
        <f t="shared" si="84"/>
        <v>6</v>
      </c>
      <c r="H256" s="254"/>
      <c r="I256" s="299">
        <v>6596.71</v>
      </c>
      <c r="J256" s="300">
        <v>1.9442999999999999</v>
      </c>
      <c r="K256" s="299">
        <f t="shared" si="85"/>
        <v>12825.98</v>
      </c>
      <c r="L256" s="301">
        <f t="shared" si="86"/>
        <v>76955.88</v>
      </c>
      <c r="M256" s="154">
        <f t="shared" si="87"/>
        <v>15391.18</v>
      </c>
      <c r="N256" s="73">
        <f t="shared" si="88"/>
        <v>92347.06</v>
      </c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64"/>
      <c r="Z256" s="9"/>
      <c r="AA256" s="18"/>
      <c r="AB256" s="22"/>
      <c r="AC256" s="22"/>
      <c r="AD256" s="22"/>
    </row>
    <row r="257" spans="1:30" s="20" customFormat="1" ht="76.5" hidden="1" x14ac:dyDescent="0.2">
      <c r="A257" s="335">
        <f t="shared" si="89"/>
        <v>200</v>
      </c>
      <c r="B257" s="257" t="s">
        <v>167</v>
      </c>
      <c r="C257" s="302" t="s">
        <v>140</v>
      </c>
      <c r="D257" s="254" t="s">
        <v>422</v>
      </c>
      <c r="E257" s="254">
        <f>20*0.5</f>
        <v>10</v>
      </c>
      <c r="F257" s="254">
        <v>1</v>
      </c>
      <c r="G257" s="254">
        <f t="shared" si="84"/>
        <v>10</v>
      </c>
      <c r="H257" s="254"/>
      <c r="I257" s="299">
        <v>2893.7</v>
      </c>
      <c r="J257" s="300">
        <v>1.9442999999999999</v>
      </c>
      <c r="K257" s="299">
        <f t="shared" si="85"/>
        <v>5626.22</v>
      </c>
      <c r="L257" s="301">
        <f t="shared" si="86"/>
        <v>56262.2</v>
      </c>
      <c r="M257" s="154">
        <f t="shared" si="87"/>
        <v>11252.44</v>
      </c>
      <c r="N257" s="73">
        <f t="shared" si="88"/>
        <v>67514.64</v>
      </c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64"/>
      <c r="Z257" s="9"/>
      <c r="AA257" s="18"/>
      <c r="AB257" s="22"/>
      <c r="AC257" s="22"/>
      <c r="AD257" s="22"/>
    </row>
    <row r="258" spans="1:30" s="20" customFormat="1" ht="89.25" hidden="1" x14ac:dyDescent="0.2">
      <c r="A258" s="335">
        <f t="shared" si="89"/>
        <v>201</v>
      </c>
      <c r="B258" s="257" t="s">
        <v>168</v>
      </c>
      <c r="C258" s="302" t="s">
        <v>112</v>
      </c>
      <c r="D258" s="254" t="s">
        <v>422</v>
      </c>
      <c r="E258" s="254">
        <v>100</v>
      </c>
      <c r="F258" s="254">
        <v>1</v>
      </c>
      <c r="G258" s="254">
        <f t="shared" si="84"/>
        <v>100</v>
      </c>
      <c r="H258" s="254"/>
      <c r="I258" s="299">
        <v>643.77</v>
      </c>
      <c r="J258" s="300">
        <v>1.9442999999999999</v>
      </c>
      <c r="K258" s="299">
        <f t="shared" si="85"/>
        <v>1251.68</v>
      </c>
      <c r="L258" s="301">
        <f t="shared" si="86"/>
        <v>125168</v>
      </c>
      <c r="M258" s="154">
        <f t="shared" si="87"/>
        <v>25033.599999999999</v>
      </c>
      <c r="N258" s="73">
        <f t="shared" si="88"/>
        <v>150201.60000000001</v>
      </c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64"/>
      <c r="Z258" s="9"/>
      <c r="AA258" s="18"/>
      <c r="AB258" s="22"/>
      <c r="AC258" s="22"/>
      <c r="AD258" s="22"/>
    </row>
    <row r="259" spans="1:30" s="20" customFormat="1" ht="89.25" hidden="1" x14ac:dyDescent="0.2">
      <c r="A259" s="335">
        <f t="shared" si="89"/>
        <v>202</v>
      </c>
      <c r="B259" s="257" t="s">
        <v>200</v>
      </c>
      <c r="C259" s="302" t="s">
        <v>137</v>
      </c>
      <c r="D259" s="254" t="s">
        <v>422</v>
      </c>
      <c r="E259" s="254">
        <f>100*0.5</f>
        <v>50</v>
      </c>
      <c r="F259" s="254">
        <v>1</v>
      </c>
      <c r="G259" s="254">
        <f t="shared" si="84"/>
        <v>50</v>
      </c>
      <c r="H259" s="254"/>
      <c r="I259" s="299">
        <v>167.36</v>
      </c>
      <c r="J259" s="300">
        <v>1.9442999999999999</v>
      </c>
      <c r="K259" s="299">
        <f t="shared" si="85"/>
        <v>325.39999999999998</v>
      </c>
      <c r="L259" s="301">
        <f t="shared" si="86"/>
        <v>16270</v>
      </c>
      <c r="M259" s="154">
        <f t="shared" si="87"/>
        <v>3254</v>
      </c>
      <c r="N259" s="73">
        <f t="shared" si="88"/>
        <v>19524</v>
      </c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64"/>
      <c r="Z259" s="9"/>
      <c r="AA259" s="18"/>
      <c r="AB259" s="22"/>
      <c r="AC259" s="22"/>
      <c r="AD259" s="22"/>
    </row>
    <row r="260" spans="1:30" s="20" customFormat="1" ht="89.25" hidden="1" x14ac:dyDescent="0.2">
      <c r="A260" s="335">
        <f t="shared" si="89"/>
        <v>203</v>
      </c>
      <c r="B260" s="257" t="s">
        <v>201</v>
      </c>
      <c r="C260" s="302" t="s">
        <v>202</v>
      </c>
      <c r="D260" s="254" t="s">
        <v>433</v>
      </c>
      <c r="E260" s="254">
        <f>1443*0.1</f>
        <v>144.30000000000001</v>
      </c>
      <c r="F260" s="254">
        <v>1</v>
      </c>
      <c r="G260" s="254">
        <f t="shared" si="84"/>
        <v>144.30000000000001</v>
      </c>
      <c r="H260" s="254"/>
      <c r="I260" s="299">
        <v>38.590000000000003</v>
      </c>
      <c r="J260" s="300">
        <v>1.9442999999999999</v>
      </c>
      <c r="K260" s="299">
        <f t="shared" si="85"/>
        <v>75.03</v>
      </c>
      <c r="L260" s="301">
        <f t="shared" si="86"/>
        <v>10826.83</v>
      </c>
      <c r="M260" s="154">
        <f t="shared" si="87"/>
        <v>2165.37</v>
      </c>
      <c r="N260" s="73">
        <f t="shared" si="88"/>
        <v>12992.2</v>
      </c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64"/>
      <c r="Z260" s="9"/>
      <c r="AA260" s="18"/>
      <c r="AB260" s="22"/>
      <c r="AC260" s="22"/>
      <c r="AD260" s="22"/>
    </row>
    <row r="261" spans="1:30" s="20" customFormat="1" ht="76.5" hidden="1" x14ac:dyDescent="0.2">
      <c r="A261" s="335">
        <f t="shared" si="89"/>
        <v>204</v>
      </c>
      <c r="B261" s="257" t="s">
        <v>169</v>
      </c>
      <c r="C261" s="302" t="s">
        <v>104</v>
      </c>
      <c r="D261" s="254" t="s">
        <v>411</v>
      </c>
      <c r="E261" s="254">
        <f>3.9*0.2</f>
        <v>0.78</v>
      </c>
      <c r="F261" s="254">
        <v>1</v>
      </c>
      <c r="G261" s="254">
        <f t="shared" si="84"/>
        <v>0.78</v>
      </c>
      <c r="H261" s="254"/>
      <c r="I261" s="299">
        <v>5333.45</v>
      </c>
      <c r="J261" s="300">
        <v>1.9442999999999999</v>
      </c>
      <c r="K261" s="299">
        <f t="shared" si="85"/>
        <v>10369.83</v>
      </c>
      <c r="L261" s="301">
        <f t="shared" si="86"/>
        <v>8088.47</v>
      </c>
      <c r="M261" s="154">
        <f t="shared" si="87"/>
        <v>1617.69</v>
      </c>
      <c r="N261" s="73">
        <f t="shared" si="88"/>
        <v>9706.16</v>
      </c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64"/>
      <c r="Z261" s="9"/>
      <c r="AA261" s="18"/>
      <c r="AB261" s="22">
        <f>2885*0.5/100</f>
        <v>14.425000000000001</v>
      </c>
      <c r="AC261" s="22">
        <f>1297+1588</f>
        <v>2885</v>
      </c>
      <c r="AD261" s="22"/>
    </row>
    <row r="262" spans="1:30" s="20" customFormat="1" ht="51" hidden="1" x14ac:dyDescent="0.2">
      <c r="A262" s="335">
        <f t="shared" si="89"/>
        <v>205</v>
      </c>
      <c r="B262" s="257" t="s">
        <v>466</v>
      </c>
      <c r="C262" s="257" t="s">
        <v>467</v>
      </c>
      <c r="D262" s="305" t="s">
        <v>422</v>
      </c>
      <c r="E262" s="305">
        <f>536-400</f>
        <v>136</v>
      </c>
      <c r="F262" s="305">
        <v>1</v>
      </c>
      <c r="G262" s="345">
        <f t="shared" si="84"/>
        <v>136</v>
      </c>
      <c r="H262" s="305"/>
      <c r="I262" s="299">
        <v>98.67</v>
      </c>
      <c r="J262" s="300">
        <v>1.9442999999999999</v>
      </c>
      <c r="K262" s="299">
        <f t="shared" si="85"/>
        <v>191.84</v>
      </c>
      <c r="L262" s="301">
        <f t="shared" si="86"/>
        <v>26090.240000000002</v>
      </c>
      <c r="M262" s="154">
        <f t="shared" si="87"/>
        <v>5218.05</v>
      </c>
      <c r="N262" s="73">
        <f t="shared" si="88"/>
        <v>31308.29</v>
      </c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64"/>
      <c r="Z262" s="9"/>
      <c r="AA262" s="18"/>
      <c r="AB262" s="22">
        <f>26*15/100</f>
        <v>3.9</v>
      </c>
      <c r="AC262" s="22" t="s">
        <v>322</v>
      </c>
      <c r="AD262" s="22"/>
    </row>
    <row r="263" spans="1:30" s="20" customFormat="1" ht="51" hidden="1" x14ac:dyDescent="0.2">
      <c r="A263" s="335">
        <f t="shared" si="89"/>
        <v>206</v>
      </c>
      <c r="B263" s="257" t="s">
        <v>468</v>
      </c>
      <c r="C263" s="257" t="s">
        <v>469</v>
      </c>
      <c r="D263" s="305" t="s">
        <v>118</v>
      </c>
      <c r="E263" s="346">
        <f>25*50/100</f>
        <v>12.5</v>
      </c>
      <c r="F263" s="305">
        <v>1</v>
      </c>
      <c r="G263" s="345">
        <f t="shared" si="84"/>
        <v>12.5</v>
      </c>
      <c r="H263" s="305"/>
      <c r="I263" s="299">
        <v>531.04</v>
      </c>
      <c r="J263" s="300">
        <v>1.9442999999999999</v>
      </c>
      <c r="K263" s="299">
        <f t="shared" si="85"/>
        <v>1032.5</v>
      </c>
      <c r="L263" s="301">
        <f t="shared" si="86"/>
        <v>12906.25</v>
      </c>
      <c r="M263" s="154">
        <f t="shared" si="87"/>
        <v>2581.25</v>
      </c>
      <c r="N263" s="73">
        <f t="shared" si="88"/>
        <v>15487.5</v>
      </c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64"/>
      <c r="Z263" s="9"/>
      <c r="AA263" s="18"/>
      <c r="AB263" s="22"/>
      <c r="AC263" s="22"/>
      <c r="AD263" s="22"/>
    </row>
    <row r="264" spans="1:30" s="20" customFormat="1" ht="51" hidden="1" x14ac:dyDescent="0.2">
      <c r="A264" s="335">
        <f t="shared" si="89"/>
        <v>207</v>
      </c>
      <c r="B264" s="257" t="s">
        <v>470</v>
      </c>
      <c r="C264" s="257" t="s">
        <v>471</v>
      </c>
      <c r="D264" s="305" t="s">
        <v>433</v>
      </c>
      <c r="E264" s="305">
        <f>2885</f>
        <v>2885</v>
      </c>
      <c r="F264" s="305">
        <v>2</v>
      </c>
      <c r="G264" s="345">
        <f t="shared" si="84"/>
        <v>5770</v>
      </c>
      <c r="H264" s="305"/>
      <c r="I264" s="299">
        <v>2.89</v>
      </c>
      <c r="J264" s="300">
        <v>1.9442999999999999</v>
      </c>
      <c r="K264" s="299">
        <f t="shared" si="85"/>
        <v>5.62</v>
      </c>
      <c r="L264" s="301">
        <f t="shared" si="86"/>
        <v>32427.4</v>
      </c>
      <c r="M264" s="154">
        <f t="shared" si="87"/>
        <v>6485.48</v>
      </c>
      <c r="N264" s="73">
        <f t="shared" si="88"/>
        <v>38912.879999999997</v>
      </c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64"/>
      <c r="Z264" s="9"/>
      <c r="AA264" s="18"/>
      <c r="AB264" s="22"/>
      <c r="AC264" s="22"/>
      <c r="AD264" s="22"/>
    </row>
    <row r="265" spans="1:30" s="20" customFormat="1" ht="51" hidden="1" x14ac:dyDescent="0.2">
      <c r="A265" s="335">
        <f t="shared" si="89"/>
        <v>208</v>
      </c>
      <c r="B265" s="257" t="s">
        <v>472</v>
      </c>
      <c r="C265" s="257" t="s">
        <v>473</v>
      </c>
      <c r="D265" s="305" t="s">
        <v>422</v>
      </c>
      <c r="E265" s="305">
        <v>100</v>
      </c>
      <c r="F265" s="305">
        <v>1</v>
      </c>
      <c r="G265" s="345">
        <f t="shared" si="84"/>
        <v>100</v>
      </c>
      <c r="H265" s="305"/>
      <c r="I265" s="299">
        <v>101.02</v>
      </c>
      <c r="J265" s="300">
        <v>1.9442999999999999</v>
      </c>
      <c r="K265" s="299">
        <f t="shared" si="85"/>
        <v>196.41</v>
      </c>
      <c r="L265" s="301">
        <f t="shared" si="86"/>
        <v>19641</v>
      </c>
      <c r="M265" s="154">
        <f t="shared" si="87"/>
        <v>3928.2</v>
      </c>
      <c r="N265" s="73">
        <f t="shared" si="88"/>
        <v>23569.200000000001</v>
      </c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64"/>
      <c r="Z265" s="9"/>
      <c r="AA265" s="18"/>
      <c r="AB265" s="22"/>
      <c r="AC265" s="22"/>
      <c r="AD265" s="22"/>
    </row>
    <row r="266" spans="1:30" s="20" customFormat="1" ht="51" hidden="1" x14ac:dyDescent="0.2">
      <c r="A266" s="335">
        <f t="shared" si="89"/>
        <v>209</v>
      </c>
      <c r="B266" s="257" t="s">
        <v>474</v>
      </c>
      <c r="C266" s="321" t="s">
        <v>475</v>
      </c>
      <c r="D266" s="305" t="s">
        <v>433</v>
      </c>
      <c r="E266" s="305">
        <f>E264</f>
        <v>2885</v>
      </c>
      <c r="F266" s="305">
        <v>3</v>
      </c>
      <c r="G266" s="345">
        <f t="shared" si="84"/>
        <v>8655</v>
      </c>
      <c r="H266" s="305"/>
      <c r="I266" s="299">
        <v>0.57999999999999996</v>
      </c>
      <c r="J266" s="300">
        <v>1.9442999999999999</v>
      </c>
      <c r="K266" s="299">
        <f t="shared" si="85"/>
        <v>1.1299999999999999</v>
      </c>
      <c r="L266" s="301">
        <f>ROUND(K266*G266,2)</f>
        <v>9780.15</v>
      </c>
      <c r="M266" s="154">
        <f t="shared" si="87"/>
        <v>1956.03</v>
      </c>
      <c r="N266" s="73">
        <f t="shared" si="88"/>
        <v>11736.18</v>
      </c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64"/>
      <c r="Z266" s="9"/>
      <c r="AA266" s="18"/>
      <c r="AB266" s="22"/>
      <c r="AC266" s="22"/>
      <c r="AD266" s="22"/>
    </row>
    <row r="267" spans="1:30" s="20" customFormat="1" ht="51" hidden="1" x14ac:dyDescent="0.2">
      <c r="A267" s="335">
        <f t="shared" si="89"/>
        <v>210</v>
      </c>
      <c r="B267" s="257" t="s">
        <v>476</v>
      </c>
      <c r="C267" s="321" t="s">
        <v>477</v>
      </c>
      <c r="D267" s="305" t="s">
        <v>433</v>
      </c>
      <c r="E267" s="305">
        <v>50</v>
      </c>
      <c r="F267" s="305">
        <v>1</v>
      </c>
      <c r="G267" s="345">
        <f t="shared" si="84"/>
        <v>50</v>
      </c>
      <c r="H267" s="305"/>
      <c r="I267" s="299">
        <v>382.85</v>
      </c>
      <c r="J267" s="300">
        <v>1.9442999999999999</v>
      </c>
      <c r="K267" s="299">
        <f t="shared" si="85"/>
        <v>744.38</v>
      </c>
      <c r="L267" s="301">
        <f t="shared" si="86"/>
        <v>37219</v>
      </c>
      <c r="M267" s="154">
        <f t="shared" si="87"/>
        <v>7443.8</v>
      </c>
      <c r="N267" s="73">
        <f t="shared" si="88"/>
        <v>44662.8</v>
      </c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64"/>
      <c r="Z267" s="9"/>
      <c r="AA267" s="18"/>
      <c r="AB267" s="22"/>
      <c r="AC267" s="22"/>
      <c r="AD267" s="22"/>
    </row>
    <row r="268" spans="1:30" s="20" customFormat="1" ht="51" hidden="1" x14ac:dyDescent="0.2">
      <c r="A268" s="335">
        <f t="shared" si="89"/>
        <v>211</v>
      </c>
      <c r="B268" s="257" t="s">
        <v>478</v>
      </c>
      <c r="C268" s="321" t="s">
        <v>479</v>
      </c>
      <c r="D268" s="305" t="s">
        <v>422</v>
      </c>
      <c r="E268" s="305">
        <v>121</v>
      </c>
      <c r="F268" s="305">
        <v>1</v>
      </c>
      <c r="G268" s="345">
        <f t="shared" si="84"/>
        <v>121</v>
      </c>
      <c r="H268" s="305"/>
      <c r="I268" s="299">
        <v>209.02</v>
      </c>
      <c r="J268" s="300">
        <v>1.9442999999999999</v>
      </c>
      <c r="K268" s="299">
        <f t="shared" si="85"/>
        <v>406.4</v>
      </c>
      <c r="L268" s="301">
        <f t="shared" si="86"/>
        <v>49174.400000000001</v>
      </c>
      <c r="M268" s="154">
        <f t="shared" si="87"/>
        <v>9834.8799999999992</v>
      </c>
      <c r="N268" s="73">
        <f t="shared" si="88"/>
        <v>59009.279999999999</v>
      </c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64"/>
      <c r="Z268" s="9"/>
      <c r="AA268" s="18"/>
      <c r="AB268" s="22"/>
      <c r="AC268" s="22"/>
      <c r="AD268" s="22"/>
    </row>
    <row r="269" spans="1:30" s="20" customFormat="1" ht="63.75" hidden="1" x14ac:dyDescent="0.2">
      <c r="A269" s="335">
        <f t="shared" si="89"/>
        <v>212</v>
      </c>
      <c r="B269" s="220" t="s">
        <v>480</v>
      </c>
      <c r="C269" s="302" t="s">
        <v>509</v>
      </c>
      <c r="D269" s="303" t="s">
        <v>507</v>
      </c>
      <c r="E269" s="254">
        <v>4</v>
      </c>
      <c r="F269" s="254">
        <v>3</v>
      </c>
      <c r="G269" s="345">
        <f t="shared" si="84"/>
        <v>12</v>
      </c>
      <c r="H269" s="254"/>
      <c r="I269" s="299">
        <v>4248.72</v>
      </c>
      <c r="J269" s="300">
        <v>1.9442999999999999</v>
      </c>
      <c r="K269" s="299">
        <f t="shared" si="85"/>
        <v>8260.7900000000009</v>
      </c>
      <c r="L269" s="301">
        <f t="shared" si="86"/>
        <v>99129.48</v>
      </c>
      <c r="M269" s="154">
        <f t="shared" si="87"/>
        <v>19825.900000000001</v>
      </c>
      <c r="N269" s="73">
        <f t="shared" si="88"/>
        <v>118955.38</v>
      </c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64"/>
      <c r="Z269" s="9"/>
      <c r="AA269" s="18"/>
      <c r="AB269" s="22"/>
      <c r="AC269" s="22"/>
      <c r="AD269" s="22"/>
    </row>
    <row r="270" spans="1:30" s="20" customFormat="1" ht="38.25" hidden="1" x14ac:dyDescent="0.2">
      <c r="A270" s="335">
        <f>A269+1</f>
        <v>213</v>
      </c>
      <c r="B270" s="222" t="s">
        <v>480</v>
      </c>
      <c r="C270" s="257" t="s">
        <v>518</v>
      </c>
      <c r="D270" s="314" t="s">
        <v>508</v>
      </c>
      <c r="E270" s="297">
        <v>1</v>
      </c>
      <c r="F270" s="297">
        <v>92</v>
      </c>
      <c r="G270" s="297">
        <f t="shared" si="84"/>
        <v>92</v>
      </c>
      <c r="H270" s="254"/>
      <c r="I270" s="299">
        <v>535.76</v>
      </c>
      <c r="J270" s="308">
        <v>1</v>
      </c>
      <c r="K270" s="299">
        <f t="shared" si="85"/>
        <v>535.76</v>
      </c>
      <c r="L270" s="301">
        <f t="shared" si="86"/>
        <v>49289.919999999998</v>
      </c>
      <c r="M270" s="154">
        <f t="shared" si="87"/>
        <v>9857.98</v>
      </c>
      <c r="N270" s="73">
        <f>ROUND(M270+L270,2)</f>
        <v>59147.9</v>
      </c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64"/>
      <c r="Z270" s="9"/>
      <c r="AA270" s="18"/>
      <c r="AB270" s="22"/>
      <c r="AC270" s="22"/>
      <c r="AD270" s="22"/>
    </row>
    <row r="271" spans="1:30" s="20" customFormat="1" ht="12.75" hidden="1" x14ac:dyDescent="0.2">
      <c r="A271" s="335"/>
      <c r="B271" s="257"/>
      <c r="C271" s="224" t="s">
        <v>88</v>
      </c>
      <c r="D271" s="254"/>
      <c r="E271" s="254"/>
      <c r="F271" s="254"/>
      <c r="G271" s="254"/>
      <c r="H271" s="254"/>
      <c r="I271" s="299"/>
      <c r="J271" s="300"/>
      <c r="K271" s="299"/>
      <c r="L271" s="301"/>
      <c r="M271" s="154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64"/>
      <c r="Z271" s="9"/>
      <c r="AA271" s="18"/>
      <c r="AB271" s="22"/>
      <c r="AC271" s="22"/>
      <c r="AD271" s="22"/>
    </row>
    <row r="272" spans="1:30" s="20" customFormat="1" ht="76.5" hidden="1" x14ac:dyDescent="0.2">
      <c r="A272" s="335">
        <f>A270+1</f>
        <v>214</v>
      </c>
      <c r="B272" s="257" t="s">
        <v>170</v>
      </c>
      <c r="C272" s="302" t="s">
        <v>171</v>
      </c>
      <c r="D272" s="254" t="s">
        <v>436</v>
      </c>
      <c r="E272" s="254">
        <v>800</v>
      </c>
      <c r="F272" s="254">
        <v>3</v>
      </c>
      <c r="G272" s="254">
        <f t="shared" si="84"/>
        <v>2400</v>
      </c>
      <c r="H272" s="316"/>
      <c r="I272" s="299">
        <v>12.79</v>
      </c>
      <c r="J272" s="300">
        <v>1.9442999999999999</v>
      </c>
      <c r="K272" s="299">
        <f>ROUND(I272*J272,2)</f>
        <v>24.87</v>
      </c>
      <c r="L272" s="301">
        <f>ROUND(K272*G272,2)</f>
        <v>59688</v>
      </c>
      <c r="M272" s="154">
        <f>ROUND(L272*0.2,2)</f>
        <v>11937.6</v>
      </c>
      <c r="N272" s="73">
        <f>ROUND(L272+M272,2)</f>
        <v>71625.600000000006</v>
      </c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64"/>
      <c r="Z272" s="9"/>
      <c r="AA272" s="18"/>
      <c r="AB272" s="22"/>
      <c r="AC272" s="22"/>
      <c r="AD272" s="22"/>
    </row>
    <row r="273" spans="1:30" s="20" customFormat="1" ht="25.5" hidden="1" x14ac:dyDescent="0.2">
      <c r="A273" s="335"/>
      <c r="B273" s="257"/>
      <c r="C273" s="224" t="s">
        <v>141</v>
      </c>
      <c r="D273" s="254"/>
      <c r="E273" s="254"/>
      <c r="F273" s="254"/>
      <c r="G273" s="254"/>
      <c r="H273" s="254"/>
      <c r="I273" s="299"/>
      <c r="J273" s="300"/>
      <c r="K273" s="299"/>
      <c r="L273" s="301"/>
      <c r="M273" s="154"/>
      <c r="N273" s="73"/>
      <c r="O273" s="525">
        <v>3803660.73</v>
      </c>
      <c r="P273" s="73"/>
      <c r="Q273" s="73"/>
      <c r="R273" s="73"/>
      <c r="S273" s="73"/>
      <c r="T273" s="73"/>
      <c r="U273" s="73"/>
      <c r="V273" s="73"/>
      <c r="W273" s="73"/>
      <c r="X273" s="73"/>
      <c r="Y273" s="142">
        <v>6660078.5299999984</v>
      </c>
      <c r="Z273" s="9"/>
      <c r="AA273" s="18"/>
      <c r="AB273" s="22"/>
      <c r="AC273" s="22"/>
      <c r="AD273" s="22"/>
    </row>
    <row r="274" spans="1:30" s="20" customFormat="1" ht="86.25" hidden="1" customHeight="1" x14ac:dyDescent="0.2">
      <c r="A274" s="335">
        <f>A272+1</f>
        <v>215</v>
      </c>
      <c r="B274" s="257" t="s">
        <v>172</v>
      </c>
      <c r="C274" s="302" t="s">
        <v>203</v>
      </c>
      <c r="D274" s="254" t="s">
        <v>354</v>
      </c>
      <c r="E274" s="254">
        <v>158.62</v>
      </c>
      <c r="F274" s="254">
        <v>6</v>
      </c>
      <c r="G274" s="254">
        <f>ROUND(E274*F274,2)</f>
        <v>951.72</v>
      </c>
      <c r="H274" s="316"/>
      <c r="I274" s="299">
        <v>35.01</v>
      </c>
      <c r="J274" s="300">
        <v>1.9442999999999999</v>
      </c>
      <c r="K274" s="299">
        <f t="shared" ref="K274:K284" si="90">ROUND(I274*J274,2)</f>
        <v>68.069999999999993</v>
      </c>
      <c r="L274" s="301">
        <f t="shared" ref="L274:L295" si="91">ROUND(K274*G274,2)</f>
        <v>64783.58</v>
      </c>
      <c r="M274" s="154">
        <f t="shared" ref="M274:M284" si="92">ROUND(L274*0.2,2)</f>
        <v>12956.72</v>
      </c>
      <c r="N274" s="73">
        <f t="shared" ref="N274:N284" si="93">ROUND(L274+M274,2)</f>
        <v>77740.3</v>
      </c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186">
        <f>SUM(N274:N295)</f>
        <v>9588171.7200000007</v>
      </c>
      <c r="Z274" s="9"/>
      <c r="AA274" s="18"/>
      <c r="AB274" s="22"/>
      <c r="AC274" s="22"/>
      <c r="AD274" s="22"/>
    </row>
    <row r="275" spans="1:30" s="20" customFormat="1" ht="76.5" hidden="1" x14ac:dyDescent="0.2">
      <c r="A275" s="335">
        <f t="shared" ref="A275:A295" si="94">A274+1</f>
        <v>216</v>
      </c>
      <c r="B275" s="257" t="s">
        <v>174</v>
      </c>
      <c r="C275" s="302" t="s">
        <v>113</v>
      </c>
      <c r="D275" s="254" t="s">
        <v>354</v>
      </c>
      <c r="E275" s="254">
        <v>518.32000000000005</v>
      </c>
      <c r="F275" s="254">
        <v>6</v>
      </c>
      <c r="G275" s="254">
        <f t="shared" ref="G275:G293" si="95">ROUND(E275*F275,2)</f>
        <v>3109.92</v>
      </c>
      <c r="H275" s="316"/>
      <c r="I275" s="299">
        <v>101.44</v>
      </c>
      <c r="J275" s="300">
        <v>1.9442999999999999</v>
      </c>
      <c r="K275" s="299">
        <f t="shared" si="90"/>
        <v>197.23</v>
      </c>
      <c r="L275" s="301">
        <f t="shared" si="91"/>
        <v>613369.52</v>
      </c>
      <c r="M275" s="154">
        <f t="shared" si="92"/>
        <v>122673.9</v>
      </c>
      <c r="N275" s="73">
        <f t="shared" si="93"/>
        <v>736043.42</v>
      </c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64"/>
      <c r="Z275" s="9"/>
      <c r="AA275" s="18"/>
      <c r="AB275" s="22"/>
      <c r="AC275" s="22"/>
      <c r="AD275" s="22"/>
    </row>
    <row r="276" spans="1:30" s="20" customFormat="1" ht="76.5" hidden="1" x14ac:dyDescent="0.2">
      <c r="A276" s="335">
        <f t="shared" si="94"/>
        <v>217</v>
      </c>
      <c r="B276" s="257" t="s">
        <v>175</v>
      </c>
      <c r="C276" s="302" t="s">
        <v>176</v>
      </c>
      <c r="D276" s="254" t="s">
        <v>354</v>
      </c>
      <c r="E276" s="254">
        <v>138.6</v>
      </c>
      <c r="F276" s="254">
        <v>5</v>
      </c>
      <c r="G276" s="254">
        <f t="shared" si="95"/>
        <v>693</v>
      </c>
      <c r="H276" s="254"/>
      <c r="I276" s="299">
        <v>100.49</v>
      </c>
      <c r="J276" s="300">
        <v>1.9442999999999999</v>
      </c>
      <c r="K276" s="299">
        <f t="shared" si="90"/>
        <v>195.38</v>
      </c>
      <c r="L276" s="301">
        <f t="shared" si="91"/>
        <v>135398.34</v>
      </c>
      <c r="M276" s="154">
        <f t="shared" si="92"/>
        <v>27079.67</v>
      </c>
      <c r="N276" s="73">
        <f t="shared" si="93"/>
        <v>162478.01</v>
      </c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64"/>
      <c r="Z276" s="9"/>
      <c r="AA276" s="18"/>
      <c r="AB276" s="22"/>
      <c r="AC276" s="22"/>
      <c r="AD276" s="22"/>
    </row>
    <row r="277" spans="1:30" s="20" customFormat="1" ht="76.5" hidden="1" x14ac:dyDescent="0.2">
      <c r="A277" s="335">
        <f t="shared" si="94"/>
        <v>218</v>
      </c>
      <c r="B277" s="257" t="s">
        <v>177</v>
      </c>
      <c r="C277" s="302" t="s">
        <v>178</v>
      </c>
      <c r="D277" s="254" t="s">
        <v>513</v>
      </c>
      <c r="E277" s="254">
        <v>1242.597</v>
      </c>
      <c r="F277" s="254">
        <v>6</v>
      </c>
      <c r="G277" s="254">
        <f t="shared" si="95"/>
        <v>7455.58</v>
      </c>
      <c r="H277" s="254"/>
      <c r="I277" s="299">
        <v>126.79</v>
      </c>
      <c r="J277" s="300">
        <v>1.9442999999999999</v>
      </c>
      <c r="K277" s="299">
        <f t="shared" si="90"/>
        <v>246.52</v>
      </c>
      <c r="L277" s="301">
        <f t="shared" si="91"/>
        <v>1837949.58</v>
      </c>
      <c r="M277" s="154">
        <f t="shared" si="92"/>
        <v>367589.92</v>
      </c>
      <c r="N277" s="73">
        <f t="shared" si="93"/>
        <v>2205539.5</v>
      </c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64"/>
      <c r="Z277" s="9"/>
      <c r="AA277" s="18"/>
      <c r="AB277" s="22"/>
      <c r="AC277" s="22"/>
      <c r="AD277" s="22"/>
    </row>
    <row r="278" spans="1:30" s="20" customFormat="1" ht="76.5" hidden="1" x14ac:dyDescent="0.2">
      <c r="A278" s="335">
        <f t="shared" si="94"/>
        <v>219</v>
      </c>
      <c r="B278" s="257" t="s">
        <v>179</v>
      </c>
      <c r="C278" s="302" t="s">
        <v>204</v>
      </c>
      <c r="D278" s="254" t="s">
        <v>513</v>
      </c>
      <c r="E278" s="254">
        <v>415.8</v>
      </c>
      <c r="F278" s="254">
        <v>5</v>
      </c>
      <c r="G278" s="254">
        <f t="shared" si="95"/>
        <v>2079</v>
      </c>
      <c r="H278" s="254"/>
      <c r="I278" s="299">
        <v>57.420999999999999</v>
      </c>
      <c r="J278" s="300">
        <v>1.9442999999999999</v>
      </c>
      <c r="K278" s="299">
        <f t="shared" si="90"/>
        <v>111.64</v>
      </c>
      <c r="L278" s="301">
        <f t="shared" si="91"/>
        <v>232099.56</v>
      </c>
      <c r="M278" s="154">
        <f t="shared" si="92"/>
        <v>46419.91</v>
      </c>
      <c r="N278" s="73">
        <f t="shared" si="93"/>
        <v>278519.46999999997</v>
      </c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64"/>
      <c r="Z278" s="9"/>
      <c r="AA278" s="18"/>
      <c r="AB278" s="22"/>
      <c r="AC278" s="22"/>
      <c r="AD278" s="22"/>
    </row>
    <row r="279" spans="1:30" s="20" customFormat="1" ht="104.25" hidden="1" customHeight="1" x14ac:dyDescent="0.2">
      <c r="A279" s="335">
        <f t="shared" si="94"/>
        <v>220</v>
      </c>
      <c r="B279" s="257" t="s">
        <v>181</v>
      </c>
      <c r="C279" s="302" t="s">
        <v>514</v>
      </c>
      <c r="D279" s="254" t="s">
        <v>513</v>
      </c>
      <c r="E279" s="254">
        <v>617.45299999999997</v>
      </c>
      <c r="F279" s="254">
        <v>6</v>
      </c>
      <c r="G279" s="254">
        <f t="shared" si="95"/>
        <v>3704.72</v>
      </c>
      <c r="H279" s="254"/>
      <c r="I279" s="299">
        <v>41.19</v>
      </c>
      <c r="J279" s="300">
        <v>1.9442999999999999</v>
      </c>
      <c r="K279" s="299">
        <f t="shared" si="90"/>
        <v>80.09</v>
      </c>
      <c r="L279" s="301">
        <f t="shared" si="91"/>
        <v>296711.02</v>
      </c>
      <c r="M279" s="154">
        <f t="shared" si="92"/>
        <v>59342.2</v>
      </c>
      <c r="N279" s="73">
        <f t="shared" si="93"/>
        <v>356053.22</v>
      </c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64"/>
      <c r="Z279" s="9"/>
      <c r="AA279" s="18"/>
      <c r="AB279" s="22"/>
      <c r="AC279" s="22"/>
      <c r="AD279" s="22"/>
    </row>
    <row r="280" spans="1:30" s="20" customFormat="1" ht="99" hidden="1" customHeight="1" x14ac:dyDescent="0.2">
      <c r="A280" s="335">
        <f t="shared" si="94"/>
        <v>221</v>
      </c>
      <c r="B280" s="257" t="s">
        <v>510</v>
      </c>
      <c r="C280" s="302" t="s">
        <v>515</v>
      </c>
      <c r="D280" s="254" t="s">
        <v>513</v>
      </c>
      <c r="E280" s="254">
        <v>617.45299999999997</v>
      </c>
      <c r="F280" s="254">
        <v>6</v>
      </c>
      <c r="G280" s="254">
        <f t="shared" si="95"/>
        <v>3704.72</v>
      </c>
      <c r="H280" s="254"/>
      <c r="I280" s="299">
        <v>26.46</v>
      </c>
      <c r="J280" s="300">
        <v>1.9442999999999999</v>
      </c>
      <c r="K280" s="299">
        <f t="shared" si="90"/>
        <v>51.45</v>
      </c>
      <c r="L280" s="301">
        <f t="shared" si="91"/>
        <v>190607.84</v>
      </c>
      <c r="M280" s="154">
        <f t="shared" si="92"/>
        <v>38121.57</v>
      </c>
      <c r="N280" s="73">
        <f t="shared" si="93"/>
        <v>228729.41</v>
      </c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64"/>
      <c r="Z280" s="9"/>
      <c r="AA280" s="18"/>
      <c r="AB280" s="22"/>
      <c r="AC280" s="22"/>
      <c r="AD280" s="22"/>
    </row>
    <row r="281" spans="1:30" s="20" customFormat="1" ht="65.25" hidden="1" customHeight="1" x14ac:dyDescent="0.2">
      <c r="A281" s="335">
        <f t="shared" si="94"/>
        <v>222</v>
      </c>
      <c r="B281" s="257" t="s">
        <v>182</v>
      </c>
      <c r="C281" s="302" t="s">
        <v>205</v>
      </c>
      <c r="D281" s="254" t="s">
        <v>513</v>
      </c>
      <c r="E281" s="254">
        <v>617.45299999999997</v>
      </c>
      <c r="F281" s="254">
        <v>5</v>
      </c>
      <c r="G281" s="254">
        <f t="shared" si="95"/>
        <v>3087.27</v>
      </c>
      <c r="H281" s="254"/>
      <c r="I281" s="299">
        <v>57.06</v>
      </c>
      <c r="J281" s="300">
        <v>1.9442999999999999</v>
      </c>
      <c r="K281" s="299">
        <f t="shared" si="90"/>
        <v>110.94</v>
      </c>
      <c r="L281" s="301">
        <f t="shared" si="91"/>
        <v>342501.73</v>
      </c>
      <c r="M281" s="154">
        <f t="shared" si="92"/>
        <v>68500.350000000006</v>
      </c>
      <c r="N281" s="73">
        <f t="shared" si="93"/>
        <v>411002.08</v>
      </c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132">
        <f>N281+N282+N283</f>
        <v>4371117.6500000004</v>
      </c>
      <c r="Z281" s="9"/>
      <c r="AA281" s="18"/>
      <c r="AB281" s="22"/>
      <c r="AC281" s="22"/>
      <c r="AD281" s="22"/>
    </row>
    <row r="282" spans="1:30" s="20" customFormat="1" ht="76.5" hidden="1" x14ac:dyDescent="0.2">
      <c r="A282" s="335">
        <f t="shared" si="94"/>
        <v>223</v>
      </c>
      <c r="B282" s="257" t="s">
        <v>182</v>
      </c>
      <c r="C282" s="302" t="s">
        <v>496</v>
      </c>
      <c r="D282" s="254" t="s">
        <v>513</v>
      </c>
      <c r="E282" s="254">
        <v>683.50800000000004</v>
      </c>
      <c r="F282" s="254">
        <v>5</v>
      </c>
      <c r="G282" s="254">
        <f t="shared" si="95"/>
        <v>3417.54</v>
      </c>
      <c r="H282" s="254"/>
      <c r="I282" s="299">
        <v>57.06</v>
      </c>
      <c r="J282" s="300">
        <v>1.9442999999999999</v>
      </c>
      <c r="K282" s="299">
        <f t="shared" si="90"/>
        <v>110.94</v>
      </c>
      <c r="L282" s="301">
        <f t="shared" si="91"/>
        <v>379141.89</v>
      </c>
      <c r="M282" s="154">
        <f t="shared" si="92"/>
        <v>75828.38</v>
      </c>
      <c r="N282" s="73">
        <f t="shared" si="93"/>
        <v>454970.27</v>
      </c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64"/>
      <c r="Z282" s="9"/>
      <c r="AA282" s="18"/>
      <c r="AB282" s="22"/>
      <c r="AC282" s="22"/>
      <c r="AD282" s="22"/>
    </row>
    <row r="283" spans="1:30" s="20" customFormat="1" ht="76.5" hidden="1" x14ac:dyDescent="0.2">
      <c r="A283" s="335">
        <f t="shared" si="94"/>
        <v>224</v>
      </c>
      <c r="B283" s="257" t="s">
        <v>189</v>
      </c>
      <c r="C283" s="257" t="s">
        <v>2</v>
      </c>
      <c r="D283" s="297" t="s">
        <v>355</v>
      </c>
      <c r="E283" s="254">
        <f>(E282+E281)*1000*300/1000/1000</f>
        <v>390.28829999999999</v>
      </c>
      <c r="F283" s="254">
        <v>5</v>
      </c>
      <c r="G283" s="254">
        <f t="shared" si="95"/>
        <v>1951.44</v>
      </c>
      <c r="H283" s="254"/>
      <c r="I283" s="299">
        <v>769.85</v>
      </c>
      <c r="J283" s="300">
        <v>1.9442999999999999</v>
      </c>
      <c r="K283" s="299">
        <f>ROUND(I283*J283,2)</f>
        <v>1496.82</v>
      </c>
      <c r="L283" s="301">
        <f>ROUND(K283*G283,2)</f>
        <v>2920954.42</v>
      </c>
      <c r="M283" s="154">
        <f>ROUND(L283*0.2,2)</f>
        <v>584190.88</v>
      </c>
      <c r="N283" s="73">
        <f>ROUND(L283+M283,2)</f>
        <v>3505145.3</v>
      </c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64"/>
      <c r="Z283" s="9"/>
      <c r="AA283" s="18"/>
      <c r="AB283" s="22"/>
      <c r="AC283" s="22"/>
      <c r="AD283" s="22"/>
    </row>
    <row r="284" spans="1:30" s="20" customFormat="1" ht="89.25" hidden="1" customHeight="1" x14ac:dyDescent="0.2">
      <c r="A284" s="335">
        <f t="shared" si="94"/>
        <v>225</v>
      </c>
      <c r="B284" s="257" t="s">
        <v>184</v>
      </c>
      <c r="C284" s="302" t="s">
        <v>114</v>
      </c>
      <c r="D284" s="254" t="s">
        <v>513</v>
      </c>
      <c r="E284" s="254">
        <v>1.01</v>
      </c>
      <c r="F284" s="254">
        <v>4</v>
      </c>
      <c r="G284" s="254">
        <f t="shared" si="95"/>
        <v>4.04</v>
      </c>
      <c r="H284" s="254"/>
      <c r="I284" s="299">
        <v>8421.01</v>
      </c>
      <c r="J284" s="300">
        <v>1.9442999999999999</v>
      </c>
      <c r="K284" s="299">
        <f t="shared" si="90"/>
        <v>16372.97</v>
      </c>
      <c r="L284" s="301">
        <f t="shared" si="91"/>
        <v>66146.8</v>
      </c>
      <c r="M284" s="154">
        <f t="shared" si="92"/>
        <v>13229.36</v>
      </c>
      <c r="N284" s="73">
        <f t="shared" si="93"/>
        <v>79376.160000000003</v>
      </c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64"/>
      <c r="Z284" s="9"/>
      <c r="AA284" s="18"/>
      <c r="AB284" s="22"/>
      <c r="AC284" s="22"/>
      <c r="AD284" s="22"/>
    </row>
    <row r="285" spans="1:30" s="20" customFormat="1" ht="76.5" hidden="1" x14ac:dyDescent="0.2">
      <c r="A285" s="335">
        <f t="shared" si="94"/>
        <v>226</v>
      </c>
      <c r="B285" s="257" t="s">
        <v>516</v>
      </c>
      <c r="C285" s="302" t="s">
        <v>92</v>
      </c>
      <c r="D285" s="254" t="s">
        <v>354</v>
      </c>
      <c r="E285" s="254">
        <v>116.44199999999999</v>
      </c>
      <c r="F285" s="254">
        <v>1</v>
      </c>
      <c r="G285" s="254">
        <f t="shared" si="95"/>
        <v>116.44</v>
      </c>
      <c r="H285" s="254"/>
      <c r="I285" s="299">
        <v>234.64</v>
      </c>
      <c r="J285" s="300">
        <v>1.9442999999999999</v>
      </c>
      <c r="K285" s="299">
        <f t="shared" ref="K285:K295" si="96">ROUND(I285*J285,2)</f>
        <v>456.21</v>
      </c>
      <c r="L285" s="301">
        <f t="shared" si="91"/>
        <v>53121.09</v>
      </c>
      <c r="M285" s="154">
        <f t="shared" ref="M285:M295" si="97">ROUND(L285*0.2,2)</f>
        <v>10624.22</v>
      </c>
      <c r="N285" s="73">
        <f t="shared" ref="N285:N295" si="98">ROUND(L285+M285,2)</f>
        <v>63745.31</v>
      </c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64"/>
      <c r="Z285" s="9"/>
      <c r="AA285" s="18"/>
      <c r="AB285" s="22"/>
      <c r="AC285" s="22"/>
      <c r="AD285" s="22"/>
    </row>
    <row r="286" spans="1:30" s="20" customFormat="1" ht="76.5" hidden="1" x14ac:dyDescent="0.2">
      <c r="A286" s="335">
        <f t="shared" si="94"/>
        <v>227</v>
      </c>
      <c r="B286" s="257" t="s">
        <v>187</v>
      </c>
      <c r="C286" s="302" t="s">
        <v>93</v>
      </c>
      <c r="D286" s="254" t="s">
        <v>354</v>
      </c>
      <c r="E286" s="254">
        <v>790.44</v>
      </c>
      <c r="F286" s="254">
        <v>1</v>
      </c>
      <c r="G286" s="254">
        <f t="shared" si="95"/>
        <v>790.44</v>
      </c>
      <c r="H286" s="254"/>
      <c r="I286" s="299">
        <v>238.67</v>
      </c>
      <c r="J286" s="300">
        <v>1.9442999999999999</v>
      </c>
      <c r="K286" s="299">
        <f t="shared" si="96"/>
        <v>464.05</v>
      </c>
      <c r="L286" s="301">
        <f t="shared" si="91"/>
        <v>366803.68</v>
      </c>
      <c r="M286" s="154">
        <f t="shared" si="97"/>
        <v>73360.740000000005</v>
      </c>
      <c r="N286" s="73">
        <f t="shared" si="98"/>
        <v>440164.42</v>
      </c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64"/>
      <c r="Z286" s="9"/>
      <c r="AA286" s="18"/>
      <c r="AB286" s="22"/>
      <c r="AC286" s="22"/>
      <c r="AD286" s="22"/>
    </row>
    <row r="287" spans="1:30" s="20" customFormat="1" ht="76.5" hidden="1" x14ac:dyDescent="0.2">
      <c r="A287" s="335">
        <f t="shared" si="94"/>
        <v>228</v>
      </c>
      <c r="B287" s="257" t="s">
        <v>188</v>
      </c>
      <c r="C287" s="302" t="s">
        <v>94</v>
      </c>
      <c r="D287" s="254" t="s">
        <v>422</v>
      </c>
      <c r="E287" s="254">
        <v>348</v>
      </c>
      <c r="F287" s="254">
        <v>1</v>
      </c>
      <c r="G287" s="254">
        <f t="shared" si="95"/>
        <v>348</v>
      </c>
      <c r="H287" s="254"/>
      <c r="I287" s="299">
        <v>6.22</v>
      </c>
      <c r="J287" s="300">
        <v>1.9442999999999999</v>
      </c>
      <c r="K287" s="299">
        <f t="shared" si="96"/>
        <v>12.09</v>
      </c>
      <c r="L287" s="301">
        <f t="shared" si="91"/>
        <v>4207.32</v>
      </c>
      <c r="M287" s="154">
        <f t="shared" si="97"/>
        <v>841.46</v>
      </c>
      <c r="N287" s="73">
        <f t="shared" si="98"/>
        <v>5048.78</v>
      </c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64"/>
      <c r="Z287" s="9"/>
      <c r="AA287" s="18"/>
      <c r="AB287" s="22"/>
      <c r="AC287" s="22"/>
      <c r="AD287" s="22"/>
    </row>
    <row r="288" spans="1:30" s="20" customFormat="1" ht="51" hidden="1" x14ac:dyDescent="0.2">
      <c r="A288" s="335">
        <f t="shared" si="94"/>
        <v>229</v>
      </c>
      <c r="B288" s="257" t="s">
        <v>482</v>
      </c>
      <c r="C288" s="257" t="s">
        <v>483</v>
      </c>
      <c r="D288" s="254" t="s">
        <v>422</v>
      </c>
      <c r="E288" s="254">
        <v>220</v>
      </c>
      <c r="F288" s="254">
        <v>1</v>
      </c>
      <c r="G288" s="254">
        <f t="shared" si="95"/>
        <v>220</v>
      </c>
      <c r="H288" s="254"/>
      <c r="I288" s="299">
        <v>134.49</v>
      </c>
      <c r="J288" s="300">
        <v>1.9442999999999999</v>
      </c>
      <c r="K288" s="299">
        <f t="shared" si="96"/>
        <v>261.49</v>
      </c>
      <c r="L288" s="301">
        <f t="shared" si="91"/>
        <v>57527.8</v>
      </c>
      <c r="M288" s="154">
        <f t="shared" si="97"/>
        <v>11505.56</v>
      </c>
      <c r="N288" s="73">
        <f t="shared" si="98"/>
        <v>69033.36</v>
      </c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64"/>
      <c r="Z288" s="9"/>
      <c r="AA288" s="18"/>
      <c r="AB288" s="22"/>
      <c r="AC288" s="22"/>
      <c r="AD288" s="22"/>
    </row>
    <row r="289" spans="1:30" s="20" customFormat="1" ht="51" hidden="1" x14ac:dyDescent="0.2">
      <c r="A289" s="335">
        <f t="shared" si="94"/>
        <v>230</v>
      </c>
      <c r="B289" s="257" t="s">
        <v>207</v>
      </c>
      <c r="C289" s="302" t="s">
        <v>171</v>
      </c>
      <c r="D289" s="254" t="s">
        <v>422</v>
      </c>
      <c r="E289" s="254">
        <v>590</v>
      </c>
      <c r="F289" s="254">
        <v>3</v>
      </c>
      <c r="G289" s="254">
        <f t="shared" si="95"/>
        <v>1770</v>
      </c>
      <c r="H289" s="254"/>
      <c r="I289" s="299">
        <v>12.79</v>
      </c>
      <c r="J289" s="300">
        <v>1.9442999999999999</v>
      </c>
      <c r="K289" s="299">
        <f t="shared" si="96"/>
        <v>24.87</v>
      </c>
      <c r="L289" s="301">
        <f t="shared" si="91"/>
        <v>44019.9</v>
      </c>
      <c r="M289" s="154">
        <f t="shared" si="97"/>
        <v>8803.98</v>
      </c>
      <c r="N289" s="73">
        <f t="shared" si="98"/>
        <v>52823.88</v>
      </c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64"/>
      <c r="Z289" s="9"/>
      <c r="AA289" s="18"/>
      <c r="AB289" s="22"/>
      <c r="AC289" s="22"/>
      <c r="AD289" s="22"/>
    </row>
    <row r="290" spans="1:30" s="20" customFormat="1" ht="51" hidden="1" x14ac:dyDescent="0.2">
      <c r="A290" s="335">
        <f t="shared" si="94"/>
        <v>231</v>
      </c>
      <c r="B290" s="257" t="s">
        <v>484</v>
      </c>
      <c r="C290" s="321" t="s">
        <v>485</v>
      </c>
      <c r="D290" s="254" t="s">
        <v>422</v>
      </c>
      <c r="E290" s="254">
        <v>1073</v>
      </c>
      <c r="F290" s="254">
        <v>2</v>
      </c>
      <c r="G290" s="254">
        <f t="shared" si="95"/>
        <v>2146</v>
      </c>
      <c r="H290" s="254"/>
      <c r="I290" s="299">
        <v>10.81</v>
      </c>
      <c r="J290" s="300">
        <v>1.9442999999999999</v>
      </c>
      <c r="K290" s="299">
        <f t="shared" si="96"/>
        <v>21.02</v>
      </c>
      <c r="L290" s="301">
        <f t="shared" si="91"/>
        <v>45108.92</v>
      </c>
      <c r="M290" s="154">
        <f t="shared" si="97"/>
        <v>9021.7800000000007</v>
      </c>
      <c r="N290" s="73">
        <f t="shared" si="98"/>
        <v>54130.7</v>
      </c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64"/>
      <c r="Z290" s="9"/>
      <c r="AA290" s="18"/>
      <c r="AB290" s="22"/>
      <c r="AC290" s="22"/>
      <c r="AD290" s="22"/>
    </row>
    <row r="291" spans="1:30" s="20" customFormat="1" ht="51" hidden="1" x14ac:dyDescent="0.2">
      <c r="A291" s="335">
        <f t="shared" si="94"/>
        <v>232</v>
      </c>
      <c r="B291" s="321" t="s">
        <v>486</v>
      </c>
      <c r="C291" s="257" t="s">
        <v>487</v>
      </c>
      <c r="D291" s="254" t="s">
        <v>422</v>
      </c>
      <c r="E291" s="254">
        <v>1150</v>
      </c>
      <c r="F291" s="254">
        <v>2</v>
      </c>
      <c r="G291" s="254">
        <f t="shared" si="95"/>
        <v>2300</v>
      </c>
      <c r="H291" s="254"/>
      <c r="I291" s="299">
        <v>8.8800000000000008</v>
      </c>
      <c r="J291" s="300">
        <v>1.9442999999999999</v>
      </c>
      <c r="K291" s="299">
        <f t="shared" si="96"/>
        <v>17.27</v>
      </c>
      <c r="L291" s="301">
        <f t="shared" si="91"/>
        <v>39721</v>
      </c>
      <c r="M291" s="154">
        <f t="shared" si="97"/>
        <v>7944.2</v>
      </c>
      <c r="N291" s="73">
        <f t="shared" si="98"/>
        <v>47665.2</v>
      </c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64"/>
      <c r="Z291" s="9"/>
      <c r="AA291" s="18"/>
      <c r="AB291" s="22"/>
      <c r="AC291" s="22"/>
      <c r="AD291" s="22"/>
    </row>
    <row r="292" spans="1:30" s="20" customFormat="1" ht="51" hidden="1" x14ac:dyDescent="0.2">
      <c r="A292" s="335">
        <f t="shared" si="94"/>
        <v>233</v>
      </c>
      <c r="B292" s="257" t="s">
        <v>488</v>
      </c>
      <c r="C292" s="257" t="s">
        <v>489</v>
      </c>
      <c r="D292" s="254" t="s">
        <v>433</v>
      </c>
      <c r="E292" s="254">
        <f>2885</f>
        <v>2885</v>
      </c>
      <c r="F292" s="254">
        <v>2</v>
      </c>
      <c r="G292" s="254">
        <f t="shared" si="95"/>
        <v>5770</v>
      </c>
      <c r="H292" s="254"/>
      <c r="I292" s="299">
        <v>1.99</v>
      </c>
      <c r="J292" s="300">
        <v>1.9442999999999999</v>
      </c>
      <c r="K292" s="299">
        <f t="shared" si="96"/>
        <v>3.87</v>
      </c>
      <c r="L292" s="301">
        <f t="shared" si="91"/>
        <v>22329.9</v>
      </c>
      <c r="M292" s="154">
        <f t="shared" si="97"/>
        <v>4465.9799999999996</v>
      </c>
      <c r="N292" s="73">
        <f t="shared" si="98"/>
        <v>26795.88</v>
      </c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64"/>
      <c r="Z292" s="9"/>
      <c r="AA292" s="18"/>
      <c r="AB292" s="22"/>
      <c r="AC292" s="22"/>
      <c r="AD292" s="22"/>
    </row>
    <row r="293" spans="1:30" s="20" customFormat="1" ht="51" hidden="1" x14ac:dyDescent="0.2">
      <c r="A293" s="335">
        <f t="shared" si="94"/>
        <v>234</v>
      </c>
      <c r="B293" s="257" t="s">
        <v>490</v>
      </c>
      <c r="C293" s="257" t="s">
        <v>491</v>
      </c>
      <c r="D293" s="254" t="s">
        <v>433</v>
      </c>
      <c r="E293" s="254">
        <v>2885</v>
      </c>
      <c r="F293" s="254">
        <v>2</v>
      </c>
      <c r="G293" s="254">
        <f t="shared" si="95"/>
        <v>5770</v>
      </c>
      <c r="H293" s="254"/>
      <c r="I293" s="299">
        <v>4.8899999999999997</v>
      </c>
      <c r="J293" s="300">
        <v>1.9442999999999999</v>
      </c>
      <c r="K293" s="299">
        <f t="shared" si="96"/>
        <v>9.51</v>
      </c>
      <c r="L293" s="301">
        <f t="shared" si="91"/>
        <v>54872.7</v>
      </c>
      <c r="M293" s="154">
        <f t="shared" si="97"/>
        <v>10974.54</v>
      </c>
      <c r="N293" s="73">
        <f t="shared" si="98"/>
        <v>65847.240000000005</v>
      </c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64"/>
      <c r="Z293" s="9"/>
      <c r="AA293" s="18"/>
      <c r="AB293" s="22"/>
      <c r="AC293" s="22"/>
      <c r="AD293" s="22"/>
    </row>
    <row r="294" spans="1:30" s="20" customFormat="1" ht="38.25" hidden="1" x14ac:dyDescent="0.2">
      <c r="A294" s="335">
        <f t="shared" si="94"/>
        <v>235</v>
      </c>
      <c r="B294" s="236" t="s">
        <v>480</v>
      </c>
      <c r="C294" s="257" t="s">
        <v>523</v>
      </c>
      <c r="D294" s="254" t="s">
        <v>507</v>
      </c>
      <c r="E294" s="254">
        <v>1</v>
      </c>
      <c r="F294" s="254">
        <v>92</v>
      </c>
      <c r="G294" s="254">
        <f>F294*E294</f>
        <v>92</v>
      </c>
      <c r="H294" s="254"/>
      <c r="I294" s="299">
        <v>535.76</v>
      </c>
      <c r="J294" s="308">
        <v>1</v>
      </c>
      <c r="K294" s="299">
        <f t="shared" si="96"/>
        <v>535.76</v>
      </c>
      <c r="L294" s="301">
        <f t="shared" si="91"/>
        <v>49289.919999999998</v>
      </c>
      <c r="M294" s="154">
        <f t="shared" si="97"/>
        <v>9857.98</v>
      </c>
      <c r="N294" s="73">
        <f t="shared" si="98"/>
        <v>59147.9</v>
      </c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64"/>
      <c r="Z294" s="9"/>
      <c r="AA294" s="18"/>
      <c r="AB294" s="22"/>
      <c r="AC294" s="22"/>
      <c r="AD294" s="22"/>
    </row>
    <row r="295" spans="1:30" s="20" customFormat="1" ht="92.25" hidden="1" customHeight="1" x14ac:dyDescent="0.2">
      <c r="A295" s="335">
        <f t="shared" si="94"/>
        <v>236</v>
      </c>
      <c r="B295" s="220" t="s">
        <v>480</v>
      </c>
      <c r="C295" s="302" t="s">
        <v>512</v>
      </c>
      <c r="D295" s="254" t="s">
        <v>507</v>
      </c>
      <c r="E295" s="254">
        <v>7</v>
      </c>
      <c r="F295" s="254">
        <v>3</v>
      </c>
      <c r="G295" s="254">
        <f>ROUND(E295*F295,2)</f>
        <v>21</v>
      </c>
      <c r="H295" s="254"/>
      <c r="I295" s="299">
        <v>4248.72</v>
      </c>
      <c r="J295" s="300">
        <v>1.9442999999999999</v>
      </c>
      <c r="K295" s="299">
        <f t="shared" si="96"/>
        <v>8260.7900000000009</v>
      </c>
      <c r="L295" s="301">
        <f t="shared" si="91"/>
        <v>173476.59</v>
      </c>
      <c r="M295" s="154">
        <f t="shared" si="97"/>
        <v>34695.32</v>
      </c>
      <c r="N295" s="73">
        <f t="shared" si="98"/>
        <v>208171.91</v>
      </c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 t="s">
        <v>409</v>
      </c>
      <c r="Z295" s="9"/>
      <c r="AA295" s="18"/>
      <c r="AB295" s="22"/>
      <c r="AC295" s="22"/>
      <c r="AD295" s="22"/>
    </row>
    <row r="296" spans="1:30" s="20" customFormat="1" ht="66.75" hidden="1" customHeight="1" x14ac:dyDescent="0.2">
      <c r="A296" s="335"/>
      <c r="B296" s="257"/>
      <c r="C296" s="219" t="s">
        <v>6</v>
      </c>
      <c r="D296" s="254"/>
      <c r="E296" s="254"/>
      <c r="F296" s="254"/>
      <c r="G296" s="254"/>
      <c r="H296" s="254"/>
      <c r="I296" s="299"/>
      <c r="J296" s="300"/>
      <c r="K296" s="299"/>
      <c r="L296" s="301"/>
      <c r="M296" s="154"/>
      <c r="N296" s="73"/>
      <c r="O296" s="527">
        <v>9588171.7200000007</v>
      </c>
      <c r="P296" s="73"/>
      <c r="Q296" s="73"/>
      <c r="R296" s="73"/>
      <c r="S296" s="73"/>
      <c r="T296" s="73"/>
      <c r="U296" s="73"/>
      <c r="V296" s="73"/>
      <c r="W296" s="73"/>
      <c r="X296" s="73"/>
      <c r="Y296" s="136">
        <v>10325319.770000001</v>
      </c>
      <c r="Z296" s="9"/>
      <c r="AA296" s="18"/>
      <c r="AB296" s="22"/>
      <c r="AC296" s="22"/>
      <c r="AD296" s="22"/>
    </row>
    <row r="297" spans="1:30" s="20" customFormat="1" ht="70.5" hidden="1" customHeight="1" x14ac:dyDescent="0.2">
      <c r="A297" s="335"/>
      <c r="B297" s="257"/>
      <c r="C297" s="237" t="s">
        <v>17</v>
      </c>
      <c r="D297" s="238"/>
      <c r="E297" s="238"/>
      <c r="F297" s="238"/>
      <c r="G297" s="250"/>
      <c r="H297" s="239"/>
      <c r="I297" s="299"/>
      <c r="J297" s="300"/>
      <c r="K297" s="299"/>
      <c r="L297" s="301"/>
      <c r="M297" s="154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64"/>
      <c r="Z297" s="9"/>
      <c r="AA297" s="18"/>
      <c r="AB297" s="22"/>
      <c r="AC297" s="22"/>
      <c r="AD297" s="22"/>
    </row>
    <row r="298" spans="1:30" s="20" customFormat="1" ht="12.75" hidden="1" x14ac:dyDescent="0.2">
      <c r="A298" s="335"/>
      <c r="B298" s="257"/>
      <c r="C298" s="237" t="s">
        <v>441</v>
      </c>
      <c r="D298" s="240"/>
      <c r="E298" s="239"/>
      <c r="F298" s="239"/>
      <c r="G298" s="250"/>
      <c r="H298" s="239"/>
      <c r="I298" s="299"/>
      <c r="J298" s="300"/>
      <c r="K298" s="299"/>
      <c r="L298" s="301"/>
      <c r="M298" s="154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191">
        <f>SUM(N299:N302)</f>
        <v>35736.79</v>
      </c>
      <c r="Z298" s="78"/>
      <c r="AA298" s="78"/>
      <c r="AB298" s="22"/>
      <c r="AC298" s="22"/>
      <c r="AD298" s="22"/>
    </row>
    <row r="299" spans="1:30" s="20" customFormat="1" ht="76.5" hidden="1" x14ac:dyDescent="0.2">
      <c r="A299" s="335">
        <f>A295+1</f>
        <v>237</v>
      </c>
      <c r="B299" s="257" t="s">
        <v>151</v>
      </c>
      <c r="C299" s="302" t="s">
        <v>116</v>
      </c>
      <c r="D299" s="254" t="s">
        <v>118</v>
      </c>
      <c r="E299" s="254">
        <v>1.68</v>
      </c>
      <c r="F299" s="254">
        <v>2</v>
      </c>
      <c r="G299" s="254">
        <f>F299*E299</f>
        <v>3.36</v>
      </c>
      <c r="H299" s="254"/>
      <c r="I299" s="299">
        <v>44.32</v>
      </c>
      <c r="J299" s="300">
        <v>1.9442999999999999</v>
      </c>
      <c r="K299" s="299">
        <f>ROUND(I299*J299,2)</f>
        <v>86.17</v>
      </c>
      <c r="L299" s="301">
        <f>ROUND(K299*G299,2)</f>
        <v>289.52999999999997</v>
      </c>
      <c r="M299" s="154">
        <f>ROUND(L299*0.2,2)</f>
        <v>57.91</v>
      </c>
      <c r="N299" s="73">
        <f>ROUND(L299+M299,2)</f>
        <v>347.44</v>
      </c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64"/>
      <c r="Z299" s="9"/>
      <c r="AA299" s="18"/>
      <c r="AB299" s="22"/>
      <c r="AC299" s="22"/>
      <c r="AD299" s="22"/>
    </row>
    <row r="300" spans="1:30" s="20" customFormat="1" ht="76.5" hidden="1" x14ac:dyDescent="0.2">
      <c r="A300" s="335">
        <f>A299+1</f>
        <v>238</v>
      </c>
      <c r="B300" s="257" t="s">
        <v>191</v>
      </c>
      <c r="C300" s="302" t="s">
        <v>117</v>
      </c>
      <c r="D300" s="254" t="s">
        <v>439</v>
      </c>
      <c r="E300" s="254">
        <v>1.4999999999999999E-2</v>
      </c>
      <c r="F300" s="254">
        <v>3</v>
      </c>
      <c r="G300" s="254">
        <f>F300*E300</f>
        <v>4.4999999999999998E-2</v>
      </c>
      <c r="H300" s="254"/>
      <c r="I300" s="299">
        <v>4728.2</v>
      </c>
      <c r="J300" s="300">
        <v>1.9442999999999999</v>
      </c>
      <c r="K300" s="299">
        <f>ROUND(I300*J300,2)</f>
        <v>9193.0400000000009</v>
      </c>
      <c r="L300" s="301">
        <f>ROUND(K300*G300,2)</f>
        <v>413.69</v>
      </c>
      <c r="M300" s="154">
        <f>ROUND(L300*0.2,2)</f>
        <v>82.74</v>
      </c>
      <c r="N300" s="73">
        <f>ROUND(L300+M300,2)</f>
        <v>496.43</v>
      </c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64"/>
      <c r="Z300" s="9"/>
      <c r="AA300" s="18"/>
      <c r="AB300" s="22"/>
      <c r="AC300" s="22"/>
      <c r="AD300" s="22"/>
    </row>
    <row r="301" spans="1:30" s="20" customFormat="1" ht="51" hidden="1" x14ac:dyDescent="0.2">
      <c r="A301" s="335">
        <f>A300+1</f>
        <v>239</v>
      </c>
      <c r="B301" s="257" t="s">
        <v>492</v>
      </c>
      <c r="C301" s="257" t="s">
        <v>493</v>
      </c>
      <c r="D301" s="305" t="s">
        <v>433</v>
      </c>
      <c r="E301" s="305">
        <v>168</v>
      </c>
      <c r="F301" s="305">
        <v>1</v>
      </c>
      <c r="G301" s="305">
        <f>ROUND(E301*F301,2)</f>
        <v>168</v>
      </c>
      <c r="H301" s="254"/>
      <c r="I301" s="299">
        <v>83.24</v>
      </c>
      <c r="J301" s="300">
        <v>1.9442999999999999</v>
      </c>
      <c r="K301" s="299">
        <f>ROUND(I301*J301,2)</f>
        <v>161.84</v>
      </c>
      <c r="L301" s="301">
        <f>ROUND(K301*G301,2)</f>
        <v>27189.119999999999</v>
      </c>
      <c r="M301" s="154">
        <f>ROUND(L301*0.2,2)</f>
        <v>5437.82</v>
      </c>
      <c r="N301" s="73">
        <f>ROUND(L301+M301,2)</f>
        <v>32626.94</v>
      </c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64"/>
      <c r="Z301" s="9"/>
      <c r="AA301" s="18"/>
      <c r="AB301" s="22"/>
      <c r="AC301" s="22"/>
      <c r="AD301" s="22"/>
    </row>
    <row r="302" spans="1:30" s="20" customFormat="1" ht="51" hidden="1" x14ac:dyDescent="0.2">
      <c r="A302" s="335">
        <f>A301+1</f>
        <v>240</v>
      </c>
      <c r="B302" s="257" t="s">
        <v>494</v>
      </c>
      <c r="C302" s="257" t="s">
        <v>471</v>
      </c>
      <c r="D302" s="305" t="s">
        <v>433</v>
      </c>
      <c r="E302" s="305">
        <f>E301</f>
        <v>168</v>
      </c>
      <c r="F302" s="305">
        <v>2</v>
      </c>
      <c r="G302" s="305">
        <f>ROUND(E302*F302,2)</f>
        <v>336</v>
      </c>
      <c r="H302" s="254"/>
      <c r="I302" s="299">
        <v>2.89</v>
      </c>
      <c r="J302" s="300">
        <v>1.9442999999999999</v>
      </c>
      <c r="K302" s="299">
        <f>ROUND(I302*J302,2)</f>
        <v>5.62</v>
      </c>
      <c r="L302" s="301">
        <f>ROUND(K302*G302,2)</f>
        <v>1888.32</v>
      </c>
      <c r="M302" s="154">
        <f>ROUND(L302*0.2,2)</f>
        <v>377.66</v>
      </c>
      <c r="N302" s="73">
        <f>ROUND(L302+M302,2)</f>
        <v>2265.98</v>
      </c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64"/>
      <c r="Z302" s="9"/>
      <c r="AA302" s="18"/>
      <c r="AB302" s="22"/>
      <c r="AC302" s="22"/>
      <c r="AD302" s="22"/>
    </row>
    <row r="303" spans="1:30" s="20" customFormat="1" ht="12.75" hidden="1" x14ac:dyDescent="0.2">
      <c r="A303" s="335"/>
      <c r="B303" s="257"/>
      <c r="C303" s="237" t="s">
        <v>530</v>
      </c>
      <c r="D303" s="254"/>
      <c r="E303" s="254"/>
      <c r="F303" s="254"/>
      <c r="G303" s="254"/>
      <c r="H303" s="254"/>
      <c r="I303" s="299"/>
      <c r="J303" s="300"/>
      <c r="K303" s="299"/>
      <c r="L303" s="301"/>
      <c r="M303" s="154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191">
        <f>N304+N305</f>
        <v>3415.7</v>
      </c>
      <c r="Z303" s="9"/>
      <c r="AA303" s="18"/>
      <c r="AB303" s="22"/>
      <c r="AC303" s="22"/>
      <c r="AD303" s="22"/>
    </row>
    <row r="304" spans="1:30" s="20" customFormat="1" ht="76.5" hidden="1" x14ac:dyDescent="0.2">
      <c r="A304" s="335">
        <f>A302+1</f>
        <v>241</v>
      </c>
      <c r="B304" s="257" t="s">
        <v>192</v>
      </c>
      <c r="C304" s="302" t="s">
        <v>119</v>
      </c>
      <c r="D304" s="254" t="s">
        <v>513</v>
      </c>
      <c r="E304" s="254">
        <v>2.1000000000000001E-2</v>
      </c>
      <c r="F304" s="254">
        <v>3</v>
      </c>
      <c r="G304" s="254">
        <f>F304*E304</f>
        <v>6.3E-2</v>
      </c>
      <c r="H304" s="254"/>
      <c r="I304" s="299">
        <v>7314.22</v>
      </c>
      <c r="J304" s="300">
        <v>1.9442999999999999</v>
      </c>
      <c r="K304" s="299">
        <f>ROUND(I304*J304,2)</f>
        <v>14221.04</v>
      </c>
      <c r="L304" s="301">
        <f>ROUND(K304*G304,2)</f>
        <v>895.93</v>
      </c>
      <c r="M304" s="154">
        <f>ROUND(L304*0.2,2)</f>
        <v>179.19</v>
      </c>
      <c r="N304" s="73">
        <f>ROUND(L304+M304,2)</f>
        <v>1075.1199999999999</v>
      </c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64"/>
      <c r="Z304" s="9"/>
      <c r="AA304" s="18"/>
      <c r="AB304" s="22"/>
      <c r="AC304" s="22"/>
      <c r="AD304" s="22"/>
    </row>
    <row r="305" spans="1:30" s="20" customFormat="1" ht="76.5" hidden="1" x14ac:dyDescent="0.2">
      <c r="A305" s="335">
        <f>A304+1</f>
        <v>242</v>
      </c>
      <c r="B305" s="257" t="s">
        <v>193</v>
      </c>
      <c r="C305" s="302" t="s">
        <v>120</v>
      </c>
      <c r="D305" s="254" t="s">
        <v>433</v>
      </c>
      <c r="E305" s="254">
        <v>168</v>
      </c>
      <c r="F305" s="254">
        <v>3</v>
      </c>
      <c r="G305" s="254">
        <f>F305*E305</f>
        <v>504</v>
      </c>
      <c r="H305" s="254"/>
      <c r="I305" s="299">
        <v>1.99</v>
      </c>
      <c r="J305" s="300">
        <v>1.9442999999999999</v>
      </c>
      <c r="K305" s="299">
        <f>ROUND(I305*J305,2)</f>
        <v>3.87</v>
      </c>
      <c r="L305" s="301">
        <f>ROUND(K305*G305,2)</f>
        <v>1950.48</v>
      </c>
      <c r="M305" s="154">
        <f>ROUND(L305*0.2,2)</f>
        <v>390.1</v>
      </c>
      <c r="N305" s="73">
        <f>ROUND(L305+M305,2)</f>
        <v>2340.58</v>
      </c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64"/>
      <c r="Z305" s="9"/>
      <c r="AA305" s="18"/>
      <c r="AB305" s="22"/>
      <c r="AC305" s="22"/>
      <c r="AD305" s="22"/>
    </row>
    <row r="306" spans="1:30" s="20" customFormat="1" ht="38.25" hidden="1" x14ac:dyDescent="0.2">
      <c r="A306" s="335"/>
      <c r="B306" s="257"/>
      <c r="C306" s="237" t="s">
        <v>443</v>
      </c>
      <c r="D306" s="254"/>
      <c r="E306" s="254"/>
      <c r="F306" s="254"/>
      <c r="G306" s="254"/>
      <c r="H306" s="254"/>
      <c r="I306" s="299"/>
      <c r="J306" s="300"/>
      <c r="K306" s="299"/>
      <c r="L306" s="301"/>
      <c r="M306" s="154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186">
        <f>SUM(N307:N313)</f>
        <v>83297.850000000006</v>
      </c>
      <c r="Z306" s="9"/>
      <c r="AA306" s="18"/>
      <c r="AB306" s="22"/>
      <c r="AC306" s="22"/>
      <c r="AD306" s="22"/>
    </row>
    <row r="307" spans="1:30" s="20" customFormat="1" ht="76.5" hidden="1" x14ac:dyDescent="0.2">
      <c r="A307" s="335">
        <f>A305+1</f>
        <v>243</v>
      </c>
      <c r="B307" s="257" t="s">
        <v>194</v>
      </c>
      <c r="C307" s="302" t="s">
        <v>144</v>
      </c>
      <c r="D307" s="254" t="s">
        <v>422</v>
      </c>
      <c r="E307" s="254">
        <v>3</v>
      </c>
      <c r="F307" s="254">
        <v>2</v>
      </c>
      <c r="G307" s="254">
        <f t="shared" ref="G307:G313" si="99">F307*E307</f>
        <v>6</v>
      </c>
      <c r="H307" s="254"/>
      <c r="I307" s="299">
        <v>964.56</v>
      </c>
      <c r="J307" s="300">
        <v>1.9442999999999999</v>
      </c>
      <c r="K307" s="299">
        <f t="shared" ref="K307:K313" si="100">ROUND(I307*J307,2)</f>
        <v>1875.39</v>
      </c>
      <c r="L307" s="301">
        <f t="shared" ref="L307:L313" si="101">ROUND(K307*G307,2)</f>
        <v>11252.34</v>
      </c>
      <c r="M307" s="154">
        <f t="shared" ref="M307:M313" si="102">ROUND(L307*0.2,2)</f>
        <v>2250.4699999999998</v>
      </c>
      <c r="N307" s="73">
        <f t="shared" ref="N307:N313" si="103">ROUND(L307+M307,2)</f>
        <v>13502.81</v>
      </c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64"/>
      <c r="Z307" s="9"/>
      <c r="AA307" s="18"/>
      <c r="AB307" s="22"/>
      <c r="AC307" s="22"/>
      <c r="AD307" s="22"/>
    </row>
    <row r="308" spans="1:30" s="20" customFormat="1" ht="63.75" hidden="1" x14ac:dyDescent="0.2">
      <c r="A308" s="335">
        <f t="shared" ref="A308:A313" si="104">A307+1</f>
        <v>244</v>
      </c>
      <c r="B308" s="310" t="s">
        <v>412</v>
      </c>
      <c r="C308" s="257" t="s">
        <v>121</v>
      </c>
      <c r="D308" s="254" t="s">
        <v>422</v>
      </c>
      <c r="E308" s="254">
        <v>2</v>
      </c>
      <c r="F308" s="254">
        <v>6</v>
      </c>
      <c r="G308" s="254">
        <f t="shared" si="99"/>
        <v>12</v>
      </c>
      <c r="H308" s="254"/>
      <c r="I308" s="299">
        <v>130.31</v>
      </c>
      <c r="J308" s="300">
        <v>9.86</v>
      </c>
      <c r="K308" s="299">
        <f t="shared" si="100"/>
        <v>1284.8599999999999</v>
      </c>
      <c r="L308" s="301">
        <f t="shared" si="101"/>
        <v>15418.32</v>
      </c>
      <c r="M308" s="154">
        <f t="shared" si="102"/>
        <v>3083.66</v>
      </c>
      <c r="N308" s="73">
        <f t="shared" si="103"/>
        <v>18501.98</v>
      </c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64"/>
      <c r="Z308" s="9"/>
      <c r="AA308" s="18"/>
      <c r="AB308" s="22"/>
      <c r="AC308" s="22"/>
      <c r="AD308" s="22"/>
    </row>
    <row r="309" spans="1:30" s="20" customFormat="1" ht="63.75" hidden="1" x14ac:dyDescent="0.2">
      <c r="A309" s="335">
        <f t="shared" si="104"/>
        <v>245</v>
      </c>
      <c r="B309" s="310" t="s">
        <v>413</v>
      </c>
      <c r="C309" s="257" t="s">
        <v>423</v>
      </c>
      <c r="D309" s="254" t="s">
        <v>422</v>
      </c>
      <c r="E309" s="254">
        <v>2</v>
      </c>
      <c r="F309" s="254">
        <v>6</v>
      </c>
      <c r="G309" s="254">
        <f t="shared" si="99"/>
        <v>12</v>
      </c>
      <c r="H309" s="254"/>
      <c r="I309" s="299">
        <v>18.62</v>
      </c>
      <c r="J309" s="300">
        <v>9.86</v>
      </c>
      <c r="K309" s="299">
        <f t="shared" si="100"/>
        <v>183.59</v>
      </c>
      <c r="L309" s="301">
        <f t="shared" si="101"/>
        <v>2203.08</v>
      </c>
      <c r="M309" s="154">
        <f t="shared" si="102"/>
        <v>440.62</v>
      </c>
      <c r="N309" s="73">
        <f t="shared" si="103"/>
        <v>2643.7</v>
      </c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64"/>
      <c r="Z309" s="9"/>
      <c r="AA309" s="18"/>
      <c r="AB309" s="22"/>
      <c r="AC309" s="22"/>
      <c r="AD309" s="22"/>
    </row>
    <row r="310" spans="1:30" s="20" customFormat="1" ht="63.75" hidden="1" x14ac:dyDescent="0.2">
      <c r="A310" s="335">
        <f t="shared" si="104"/>
        <v>246</v>
      </c>
      <c r="B310" s="310" t="s">
        <v>414</v>
      </c>
      <c r="C310" s="257" t="s">
        <v>424</v>
      </c>
      <c r="D310" s="254" t="s">
        <v>422</v>
      </c>
      <c r="E310" s="254">
        <v>1</v>
      </c>
      <c r="F310" s="254">
        <v>2</v>
      </c>
      <c r="G310" s="254">
        <v>2</v>
      </c>
      <c r="H310" s="254"/>
      <c r="I310" s="299">
        <v>161.86000000000001</v>
      </c>
      <c r="J310" s="300">
        <v>9.86</v>
      </c>
      <c r="K310" s="299">
        <f t="shared" si="100"/>
        <v>1595.94</v>
      </c>
      <c r="L310" s="301">
        <f t="shared" si="101"/>
        <v>3191.88</v>
      </c>
      <c r="M310" s="154">
        <f t="shared" si="102"/>
        <v>638.38</v>
      </c>
      <c r="N310" s="73">
        <f t="shared" si="103"/>
        <v>3830.26</v>
      </c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64"/>
      <c r="Z310" s="9"/>
      <c r="AA310" s="18"/>
      <c r="AB310" s="22"/>
      <c r="AC310" s="22"/>
      <c r="AD310" s="22"/>
    </row>
    <row r="311" spans="1:30" s="20" customFormat="1" ht="63.75" hidden="1" x14ac:dyDescent="0.2">
      <c r="A311" s="335">
        <f t="shared" si="104"/>
        <v>247</v>
      </c>
      <c r="B311" s="310" t="s">
        <v>415</v>
      </c>
      <c r="C311" s="257" t="s">
        <v>122</v>
      </c>
      <c r="D311" s="254" t="s">
        <v>422</v>
      </c>
      <c r="E311" s="254">
        <v>1</v>
      </c>
      <c r="F311" s="254">
        <v>2</v>
      </c>
      <c r="G311" s="254">
        <v>2</v>
      </c>
      <c r="H311" s="254"/>
      <c r="I311" s="299">
        <v>501.73</v>
      </c>
      <c r="J311" s="300">
        <v>9.86</v>
      </c>
      <c r="K311" s="299">
        <f t="shared" si="100"/>
        <v>4947.0600000000004</v>
      </c>
      <c r="L311" s="301">
        <f t="shared" si="101"/>
        <v>9894.1200000000008</v>
      </c>
      <c r="M311" s="154">
        <f t="shared" si="102"/>
        <v>1978.82</v>
      </c>
      <c r="N311" s="73">
        <f t="shared" si="103"/>
        <v>11872.94</v>
      </c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64"/>
      <c r="Z311" s="9"/>
      <c r="AA311" s="18"/>
      <c r="AB311" s="22"/>
      <c r="AC311" s="22"/>
      <c r="AD311" s="22"/>
    </row>
    <row r="312" spans="1:30" s="20" customFormat="1" ht="63.75" hidden="1" x14ac:dyDescent="0.2">
      <c r="A312" s="335">
        <f t="shared" si="104"/>
        <v>248</v>
      </c>
      <c r="B312" s="310" t="s">
        <v>416</v>
      </c>
      <c r="C312" s="257" t="s">
        <v>123</v>
      </c>
      <c r="D312" s="254" t="s">
        <v>422</v>
      </c>
      <c r="E312" s="254">
        <v>2</v>
      </c>
      <c r="F312" s="254">
        <v>6</v>
      </c>
      <c r="G312" s="254">
        <f t="shared" si="99"/>
        <v>12</v>
      </c>
      <c r="H312" s="254"/>
      <c r="I312" s="299">
        <v>135.63999999999999</v>
      </c>
      <c r="J312" s="300">
        <v>9.86</v>
      </c>
      <c r="K312" s="299">
        <f t="shared" si="100"/>
        <v>1337.41</v>
      </c>
      <c r="L312" s="301">
        <f t="shared" si="101"/>
        <v>16048.92</v>
      </c>
      <c r="M312" s="154">
        <f t="shared" si="102"/>
        <v>3209.78</v>
      </c>
      <c r="N312" s="73">
        <f t="shared" si="103"/>
        <v>19258.7</v>
      </c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 t="s">
        <v>533</v>
      </c>
      <c r="Z312" s="9"/>
      <c r="AA312" s="18"/>
      <c r="AB312" s="22"/>
      <c r="AC312" s="22"/>
      <c r="AD312" s="22"/>
    </row>
    <row r="313" spans="1:30" s="20" customFormat="1" ht="255" hidden="1" x14ac:dyDescent="0.2">
      <c r="A313" s="335">
        <f t="shared" si="104"/>
        <v>249</v>
      </c>
      <c r="B313" s="257" t="s">
        <v>341</v>
      </c>
      <c r="C313" s="302" t="s">
        <v>124</v>
      </c>
      <c r="D313" s="254" t="s">
        <v>91</v>
      </c>
      <c r="E313" s="254">
        <v>1442</v>
      </c>
      <c r="F313" s="254">
        <v>1</v>
      </c>
      <c r="G313" s="254">
        <f t="shared" si="99"/>
        <v>1442</v>
      </c>
      <c r="H313" s="254"/>
      <c r="I313" s="299">
        <v>7.1</v>
      </c>
      <c r="J313" s="300">
        <v>1.1140000000000001</v>
      </c>
      <c r="K313" s="299">
        <f t="shared" si="100"/>
        <v>7.91</v>
      </c>
      <c r="L313" s="301">
        <f t="shared" si="101"/>
        <v>11406.22</v>
      </c>
      <c r="M313" s="154">
        <f t="shared" si="102"/>
        <v>2281.2399999999998</v>
      </c>
      <c r="N313" s="73">
        <f t="shared" si="103"/>
        <v>13687.46</v>
      </c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146">
        <v>92813.099999999977</v>
      </c>
      <c r="Z313" s="9"/>
      <c r="AA313" s="18"/>
      <c r="AB313" s="22"/>
      <c r="AC313" s="22"/>
      <c r="AD313" s="22"/>
    </row>
    <row r="314" spans="1:30" s="20" customFormat="1" ht="48" hidden="1" customHeight="1" x14ac:dyDescent="0.2">
      <c r="A314" s="335"/>
      <c r="B314" s="257"/>
      <c r="C314" s="237" t="s">
        <v>18</v>
      </c>
      <c r="D314" s="238"/>
      <c r="E314" s="238"/>
      <c r="F314" s="238"/>
      <c r="G314" s="254"/>
      <c r="H314" s="254"/>
      <c r="I314" s="299"/>
      <c r="J314" s="300"/>
      <c r="K314" s="299"/>
      <c r="L314" s="301"/>
      <c r="M314" s="154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64"/>
      <c r="Z314" s="9"/>
      <c r="AA314" s="18"/>
      <c r="AB314" s="22"/>
      <c r="AC314" s="22"/>
      <c r="AD314" s="22"/>
    </row>
    <row r="315" spans="1:30" s="20" customFormat="1" ht="15" hidden="1" customHeight="1" x14ac:dyDescent="0.2">
      <c r="A315" s="335"/>
      <c r="B315" s="257"/>
      <c r="C315" s="237" t="s">
        <v>445</v>
      </c>
      <c r="D315" s="254"/>
      <c r="E315" s="254"/>
      <c r="F315" s="254"/>
      <c r="G315" s="254"/>
      <c r="H315" s="254"/>
      <c r="I315" s="299"/>
      <c r="J315" s="300"/>
      <c r="K315" s="299"/>
      <c r="L315" s="301"/>
      <c r="M315" s="154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191">
        <f>SUM(N315:N319)</f>
        <v>45156.74</v>
      </c>
      <c r="Z315" s="78"/>
      <c r="AA315" s="78"/>
      <c r="AB315" s="22"/>
      <c r="AC315" s="22"/>
      <c r="AD315" s="22"/>
    </row>
    <row r="316" spans="1:30" s="20" customFormat="1" ht="76.5" hidden="1" x14ac:dyDescent="0.2">
      <c r="A316" s="335">
        <f>A313+1</f>
        <v>250</v>
      </c>
      <c r="B316" s="257" t="s">
        <v>151</v>
      </c>
      <c r="C316" s="302" t="s">
        <v>116</v>
      </c>
      <c r="D316" s="254" t="s">
        <v>118</v>
      </c>
      <c r="E316" s="254">
        <v>1.6379999999999999</v>
      </c>
      <c r="F316" s="254">
        <v>2</v>
      </c>
      <c r="G316" s="254">
        <f>F316*E316</f>
        <v>3.2759999999999998</v>
      </c>
      <c r="H316" s="254"/>
      <c r="I316" s="299">
        <v>44.32</v>
      </c>
      <c r="J316" s="300">
        <v>1.9442999999999999</v>
      </c>
      <c r="K316" s="299">
        <f>ROUND(I316*J316,2)</f>
        <v>86.17</v>
      </c>
      <c r="L316" s="301">
        <f>ROUND(K316*G316,2)</f>
        <v>282.29000000000002</v>
      </c>
      <c r="M316" s="154">
        <f>ROUND(L316*0.2,2)</f>
        <v>56.46</v>
      </c>
      <c r="N316" s="78">
        <f>ROUND(L316+M316,2)</f>
        <v>338.75</v>
      </c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64"/>
      <c r="Z316" s="9"/>
      <c r="AA316" s="18"/>
      <c r="AB316" s="22"/>
      <c r="AC316" s="22"/>
      <c r="AD316" s="22"/>
    </row>
    <row r="317" spans="1:30" s="20" customFormat="1" ht="76.5" hidden="1" x14ac:dyDescent="0.2">
      <c r="A317" s="335">
        <f>A316+1</f>
        <v>251</v>
      </c>
      <c r="B317" s="257" t="s">
        <v>191</v>
      </c>
      <c r="C317" s="302" t="s">
        <v>117</v>
      </c>
      <c r="D317" s="254" t="s">
        <v>439</v>
      </c>
      <c r="E317" s="254">
        <v>0.32500000000000001</v>
      </c>
      <c r="F317" s="254">
        <v>3</v>
      </c>
      <c r="G317" s="254">
        <f>F317*E317</f>
        <v>0.97500000000000009</v>
      </c>
      <c r="H317" s="254"/>
      <c r="I317" s="299">
        <v>4728.2</v>
      </c>
      <c r="J317" s="300">
        <v>1.9442999999999999</v>
      </c>
      <c r="K317" s="299">
        <f>ROUND(I317*J317,2)</f>
        <v>9193.0400000000009</v>
      </c>
      <c r="L317" s="301">
        <f>ROUND(K317*G317,2)</f>
        <v>8963.2099999999991</v>
      </c>
      <c r="M317" s="154">
        <f>ROUND(L317*0.2,2)</f>
        <v>1792.64</v>
      </c>
      <c r="N317" s="78">
        <f>ROUND(L317+M317,2)</f>
        <v>10755.85</v>
      </c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64"/>
      <c r="Z317" s="9"/>
      <c r="AA317" s="18"/>
      <c r="AB317" s="22"/>
      <c r="AC317" s="22"/>
      <c r="AD317" s="22"/>
    </row>
    <row r="318" spans="1:30" s="20" customFormat="1" ht="51" hidden="1" x14ac:dyDescent="0.2">
      <c r="A318" s="335">
        <f>A317+1</f>
        <v>252</v>
      </c>
      <c r="B318" s="257" t="s">
        <v>492</v>
      </c>
      <c r="C318" s="257" t="s">
        <v>493</v>
      </c>
      <c r="D318" s="254"/>
      <c r="E318" s="254">
        <v>164</v>
      </c>
      <c r="F318" s="254">
        <v>1</v>
      </c>
      <c r="G318" s="254">
        <f>ROUND(E318*F318,2)</f>
        <v>164</v>
      </c>
      <c r="H318" s="254"/>
      <c r="I318" s="299">
        <v>83.24</v>
      </c>
      <c r="J318" s="300">
        <v>1.9442999999999999</v>
      </c>
      <c r="K318" s="299">
        <f>ROUND(I318*J318,2)</f>
        <v>161.84</v>
      </c>
      <c r="L318" s="301">
        <f>ROUND(K318*G318,2)</f>
        <v>26541.759999999998</v>
      </c>
      <c r="M318" s="154">
        <f>ROUND(L318*0.2,2)</f>
        <v>5308.35</v>
      </c>
      <c r="N318" s="78">
        <f>ROUND(L318+M318,2)</f>
        <v>31850.11</v>
      </c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64"/>
      <c r="Z318" s="9"/>
      <c r="AA318" s="18"/>
      <c r="AB318" s="22"/>
      <c r="AC318" s="22"/>
      <c r="AD318" s="22"/>
    </row>
    <row r="319" spans="1:30" s="20" customFormat="1" ht="51" hidden="1" x14ac:dyDescent="0.2">
      <c r="A319" s="335">
        <f>A318+1</f>
        <v>253</v>
      </c>
      <c r="B319" s="257" t="s">
        <v>494</v>
      </c>
      <c r="C319" s="257" t="s">
        <v>471</v>
      </c>
      <c r="D319" s="254" t="s">
        <v>433</v>
      </c>
      <c r="E319" s="254">
        <v>164</v>
      </c>
      <c r="F319" s="254">
        <v>2</v>
      </c>
      <c r="G319" s="254">
        <f>ROUND(E319*F319,2)</f>
        <v>328</v>
      </c>
      <c r="H319" s="254"/>
      <c r="I319" s="299">
        <v>2.89</v>
      </c>
      <c r="J319" s="300">
        <v>1.9442999999999999</v>
      </c>
      <c r="K319" s="299">
        <f>ROUND(I319*J319,2)</f>
        <v>5.62</v>
      </c>
      <c r="L319" s="301">
        <f>ROUND(K319*G319,2)</f>
        <v>1843.36</v>
      </c>
      <c r="M319" s="154">
        <f>ROUND(L319*0.2,2)</f>
        <v>368.67</v>
      </c>
      <c r="N319" s="78">
        <f>ROUND(L319+M319,2)</f>
        <v>2212.0300000000002</v>
      </c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64"/>
      <c r="Z319" s="9"/>
      <c r="AA319" s="18"/>
      <c r="AB319" s="22"/>
      <c r="AC319" s="22"/>
      <c r="AD319" s="22"/>
    </row>
    <row r="320" spans="1:30" s="20" customFormat="1" ht="76.5" hidden="1" x14ac:dyDescent="0.2">
      <c r="A320" s="335">
        <f>A319+1</f>
        <v>254</v>
      </c>
      <c r="B320" s="257" t="s">
        <v>194</v>
      </c>
      <c r="C320" s="302" t="s">
        <v>144</v>
      </c>
      <c r="D320" s="254" t="s">
        <v>422</v>
      </c>
      <c r="E320" s="254">
        <v>3</v>
      </c>
      <c r="F320" s="254">
        <v>4</v>
      </c>
      <c r="G320" s="254">
        <f>F320*E320</f>
        <v>12</v>
      </c>
      <c r="H320" s="254"/>
      <c r="I320" s="299">
        <v>964.56</v>
      </c>
      <c r="J320" s="300">
        <v>1.9442999999999999</v>
      </c>
      <c r="K320" s="299">
        <f>ROUND(I320*J320,2)</f>
        <v>1875.39</v>
      </c>
      <c r="L320" s="301">
        <f>ROUND(K320*G320,2)</f>
        <v>22504.68</v>
      </c>
      <c r="M320" s="154">
        <f>ROUND(L320*0.2,2)</f>
        <v>4500.9399999999996</v>
      </c>
      <c r="N320" s="78">
        <f>ROUND(L320+M320,2)</f>
        <v>27005.62</v>
      </c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191">
        <v>27005.62</v>
      </c>
      <c r="Z320" s="9"/>
      <c r="AA320" s="18"/>
      <c r="AB320" s="22"/>
      <c r="AC320" s="22"/>
      <c r="AD320" s="22"/>
    </row>
    <row r="321" spans="1:30" s="20" customFormat="1" ht="12.75" hidden="1" x14ac:dyDescent="0.2">
      <c r="A321" s="335"/>
      <c r="B321" s="285"/>
      <c r="C321" s="237" t="s">
        <v>12</v>
      </c>
      <c r="D321" s="254"/>
      <c r="E321" s="254"/>
      <c r="F321" s="254"/>
      <c r="G321" s="254"/>
      <c r="H321" s="254"/>
      <c r="I321" s="299"/>
      <c r="J321" s="300"/>
      <c r="K321" s="299"/>
      <c r="L321" s="301"/>
      <c r="M321" s="347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191">
        <f>N322+N323</f>
        <v>18923.46</v>
      </c>
      <c r="Z321" s="9"/>
      <c r="AA321" s="18"/>
      <c r="AB321" s="22"/>
      <c r="AC321" s="22"/>
      <c r="AD321" s="22"/>
    </row>
    <row r="322" spans="1:30" s="20" customFormat="1" ht="76.5" hidden="1" x14ac:dyDescent="0.2">
      <c r="A322" s="335">
        <f>A320+1</f>
        <v>255</v>
      </c>
      <c r="B322" s="348" t="s">
        <v>192</v>
      </c>
      <c r="C322" s="302" t="s">
        <v>119</v>
      </c>
      <c r="D322" s="254" t="s">
        <v>513</v>
      </c>
      <c r="E322" s="254">
        <v>0.32500000000000001</v>
      </c>
      <c r="F322" s="254">
        <v>3</v>
      </c>
      <c r="G322" s="254">
        <f>F322*E322</f>
        <v>0.97500000000000009</v>
      </c>
      <c r="H322" s="254"/>
      <c r="I322" s="299">
        <v>7314.22</v>
      </c>
      <c r="J322" s="300">
        <v>1.9442999999999999</v>
      </c>
      <c r="K322" s="299">
        <f>ROUND(I322*J322,2)</f>
        <v>14221.04</v>
      </c>
      <c r="L322" s="301">
        <f>ROUND(K322*G322,2)</f>
        <v>13865.51</v>
      </c>
      <c r="M322" s="154">
        <f>ROUND(L322*0.2,2)</f>
        <v>2773.1</v>
      </c>
      <c r="N322" s="78">
        <f>ROUND(L322+M322,2)</f>
        <v>16638.61</v>
      </c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64"/>
      <c r="Z322" s="9"/>
      <c r="AA322" s="18"/>
      <c r="AB322" s="22"/>
      <c r="AC322" s="22"/>
      <c r="AD322" s="22"/>
    </row>
    <row r="323" spans="1:30" s="20" customFormat="1" ht="39.75" hidden="1" customHeight="1" x14ac:dyDescent="0.2">
      <c r="A323" s="335">
        <f>A322+1</f>
        <v>256</v>
      </c>
      <c r="B323" s="348" t="s">
        <v>193</v>
      </c>
      <c r="C323" s="302" t="s">
        <v>120</v>
      </c>
      <c r="D323" s="254" t="s">
        <v>433</v>
      </c>
      <c r="E323" s="254">
        <v>164</v>
      </c>
      <c r="F323" s="254">
        <v>3</v>
      </c>
      <c r="G323" s="254">
        <f>F323*E323</f>
        <v>492</v>
      </c>
      <c r="H323" s="254"/>
      <c r="I323" s="299">
        <v>1.99</v>
      </c>
      <c r="J323" s="300">
        <v>1.9442999999999999</v>
      </c>
      <c r="K323" s="299">
        <f>ROUND(I323*J323,2)</f>
        <v>3.87</v>
      </c>
      <c r="L323" s="301">
        <f>ROUND(K323*G323,2)</f>
        <v>1904.04</v>
      </c>
      <c r="M323" s="154">
        <f>ROUND(L323*0.2,2)</f>
        <v>380.81</v>
      </c>
      <c r="N323" s="78">
        <f>ROUND(L323+M323,2)</f>
        <v>2284.85</v>
      </c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64"/>
      <c r="Z323" s="9"/>
      <c r="AA323" s="18"/>
      <c r="AB323" s="22"/>
      <c r="AC323" s="22"/>
      <c r="AD323" s="22"/>
    </row>
    <row r="324" spans="1:30" s="20" customFormat="1" ht="45" hidden="1" customHeight="1" x14ac:dyDescent="0.2">
      <c r="A324" s="335"/>
      <c r="B324" s="348"/>
      <c r="C324" s="219" t="s">
        <v>19</v>
      </c>
      <c r="D324" s="231"/>
      <c r="E324" s="231"/>
      <c r="F324" s="231"/>
      <c r="G324" s="231"/>
      <c r="H324" s="231"/>
      <c r="I324" s="231"/>
      <c r="J324" s="231"/>
      <c r="K324" s="231"/>
      <c r="L324" s="231"/>
      <c r="M324" s="349"/>
      <c r="N324" s="73"/>
      <c r="O324" s="524">
        <v>213536.16</v>
      </c>
      <c r="P324" s="73"/>
      <c r="Q324" s="73"/>
      <c r="R324" s="73"/>
      <c r="S324" s="73"/>
      <c r="T324" s="73"/>
      <c r="U324" s="73"/>
      <c r="V324" s="73"/>
      <c r="W324" s="73"/>
      <c r="X324" s="73"/>
      <c r="Y324" s="186">
        <f>SUM(N325:N336)</f>
        <v>17204.11</v>
      </c>
      <c r="Z324" s="9"/>
      <c r="AA324" s="18"/>
      <c r="AB324" s="22"/>
      <c r="AC324" s="22"/>
      <c r="AD324" s="22"/>
    </row>
    <row r="325" spans="1:30" s="20" customFormat="1" ht="68.25" hidden="1" customHeight="1" x14ac:dyDescent="0.2">
      <c r="A325" s="350">
        <f>A323+1</f>
        <v>257</v>
      </c>
      <c r="B325" s="328" t="s">
        <v>353</v>
      </c>
      <c r="C325" s="302" t="s">
        <v>361</v>
      </c>
      <c r="D325" s="303" t="s">
        <v>354</v>
      </c>
      <c r="E325" s="303">
        <v>0.08</v>
      </c>
      <c r="F325" s="254">
        <v>1</v>
      </c>
      <c r="G325" s="254">
        <f t="shared" ref="G325:G336" si="105">F325*E325</f>
        <v>0.08</v>
      </c>
      <c r="H325" s="254">
        <v>279.35000000000002</v>
      </c>
      <c r="I325" s="301">
        <f t="shared" ref="I325:I336" si="106">H325/1.2</f>
        <v>232.79166666666669</v>
      </c>
      <c r="J325" s="254">
        <v>12.981199999999999</v>
      </c>
      <c r="K325" s="299">
        <f t="shared" ref="K325:K336" si="107">ROUND(J325*I325,2)</f>
        <v>3021.92</v>
      </c>
      <c r="L325" s="301">
        <f t="shared" ref="L325:L336" si="108">ROUND(K325*G325,2)</f>
        <v>241.75</v>
      </c>
      <c r="M325" s="154">
        <f t="shared" ref="M325:M336" si="109">ROUND(L325*0.2,2)</f>
        <v>48.35</v>
      </c>
      <c r="N325" s="73">
        <f>ROUND(L325+M325,2)</f>
        <v>290.10000000000002</v>
      </c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64"/>
      <c r="Z325" s="9"/>
      <c r="AA325" s="18"/>
      <c r="AB325" s="22"/>
      <c r="AC325" s="22"/>
      <c r="AD325" s="22"/>
    </row>
    <row r="326" spans="1:30" s="20" customFormat="1" ht="105" hidden="1" customHeight="1" x14ac:dyDescent="0.2">
      <c r="A326" s="350">
        <f>A325+1</f>
        <v>258</v>
      </c>
      <c r="B326" s="328" t="s">
        <v>349</v>
      </c>
      <c r="C326" s="302" t="s">
        <v>356</v>
      </c>
      <c r="D326" s="330" t="s">
        <v>355</v>
      </c>
      <c r="E326" s="330">
        <f>E325*AB327</f>
        <v>5.2000000000000006E-3</v>
      </c>
      <c r="F326" s="254">
        <v>1</v>
      </c>
      <c r="G326" s="254">
        <f t="shared" si="105"/>
        <v>5.2000000000000006E-3</v>
      </c>
      <c r="H326" s="254">
        <v>19696.099999999999</v>
      </c>
      <c r="I326" s="301">
        <f t="shared" si="106"/>
        <v>16413.416666666668</v>
      </c>
      <c r="J326" s="254">
        <v>12.981199999999999</v>
      </c>
      <c r="K326" s="299">
        <f t="shared" si="107"/>
        <v>213065.84</v>
      </c>
      <c r="L326" s="301">
        <f t="shared" si="108"/>
        <v>1107.94</v>
      </c>
      <c r="M326" s="154">
        <f t="shared" si="109"/>
        <v>221.59</v>
      </c>
      <c r="N326" s="73">
        <f t="shared" ref="N326:N336" si="110">ROUND(L326+M326,2)</f>
        <v>1329.53</v>
      </c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64"/>
      <c r="Z326" s="9"/>
      <c r="AA326" s="42"/>
      <c r="AB326" s="51"/>
      <c r="AC326" s="51"/>
      <c r="AD326" s="22"/>
    </row>
    <row r="327" spans="1:30" s="20" customFormat="1" ht="178.5" hidden="1" x14ac:dyDescent="0.2">
      <c r="A327" s="350">
        <f t="shared" ref="A327:A336" si="111">A326+1</f>
        <v>259</v>
      </c>
      <c r="B327" s="328" t="s">
        <v>347</v>
      </c>
      <c r="C327" s="302" t="s">
        <v>357</v>
      </c>
      <c r="D327" s="303" t="s">
        <v>355</v>
      </c>
      <c r="E327" s="303">
        <f>E325*AB328*AC328</f>
        <v>2E-3</v>
      </c>
      <c r="F327" s="254">
        <v>1</v>
      </c>
      <c r="G327" s="254">
        <f t="shared" si="105"/>
        <v>2E-3</v>
      </c>
      <c r="H327" s="254">
        <v>437.82</v>
      </c>
      <c r="I327" s="301">
        <f t="shared" si="106"/>
        <v>364.85</v>
      </c>
      <c r="J327" s="254">
        <v>12.981199999999999</v>
      </c>
      <c r="K327" s="299">
        <f t="shared" si="107"/>
        <v>4736.1899999999996</v>
      </c>
      <c r="L327" s="301">
        <f t="shared" si="108"/>
        <v>9.4700000000000006</v>
      </c>
      <c r="M327" s="154">
        <f t="shared" si="109"/>
        <v>1.89</v>
      </c>
      <c r="N327" s="73">
        <f t="shared" si="110"/>
        <v>11.36</v>
      </c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64"/>
      <c r="Z327" s="9"/>
      <c r="AA327" s="42"/>
      <c r="AB327" s="52">
        <v>6.5000000000000002E-2</v>
      </c>
      <c r="AC327" s="52"/>
      <c r="AD327" s="22"/>
    </row>
    <row r="328" spans="1:30" s="20" customFormat="1" ht="165.75" hidden="1" x14ac:dyDescent="0.2">
      <c r="A328" s="350">
        <f t="shared" si="111"/>
        <v>260</v>
      </c>
      <c r="B328" s="328" t="s">
        <v>350</v>
      </c>
      <c r="C328" s="302" t="s">
        <v>362</v>
      </c>
      <c r="D328" s="303" t="s">
        <v>354</v>
      </c>
      <c r="E328" s="303">
        <v>0.2</v>
      </c>
      <c r="F328" s="254">
        <v>1</v>
      </c>
      <c r="G328" s="254">
        <f t="shared" si="105"/>
        <v>0.2</v>
      </c>
      <c r="H328" s="254">
        <v>279.35000000000002</v>
      </c>
      <c r="I328" s="301">
        <f t="shared" si="106"/>
        <v>232.79166666666669</v>
      </c>
      <c r="J328" s="254">
        <v>12.981199999999999</v>
      </c>
      <c r="K328" s="299">
        <f t="shared" si="107"/>
        <v>3021.92</v>
      </c>
      <c r="L328" s="301">
        <f t="shared" si="108"/>
        <v>604.38</v>
      </c>
      <c r="M328" s="154">
        <f t="shared" si="109"/>
        <v>120.88</v>
      </c>
      <c r="N328" s="73">
        <f t="shared" si="110"/>
        <v>725.26</v>
      </c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64"/>
      <c r="Z328" s="9"/>
      <c r="AA328" s="42"/>
      <c r="AB328" s="36">
        <v>2.5000000000000001E-4</v>
      </c>
      <c r="AC328" s="52">
        <v>100</v>
      </c>
      <c r="AD328" s="22"/>
    </row>
    <row r="329" spans="1:30" s="20" customFormat="1" ht="178.5" hidden="1" x14ac:dyDescent="0.2">
      <c r="A329" s="350">
        <f t="shared" si="111"/>
        <v>261</v>
      </c>
      <c r="B329" s="328" t="s">
        <v>349</v>
      </c>
      <c r="C329" s="302" t="s">
        <v>356</v>
      </c>
      <c r="D329" s="330" t="s">
        <v>355</v>
      </c>
      <c r="E329" s="330">
        <f>AD330</f>
        <v>9.7500000000000017E-3</v>
      </c>
      <c r="F329" s="254">
        <v>1</v>
      </c>
      <c r="G329" s="254">
        <f t="shared" si="105"/>
        <v>9.7500000000000017E-3</v>
      </c>
      <c r="H329" s="254">
        <v>19696.099999999999</v>
      </c>
      <c r="I329" s="301">
        <f t="shared" si="106"/>
        <v>16413.416666666668</v>
      </c>
      <c r="J329" s="254">
        <v>12.981199999999999</v>
      </c>
      <c r="K329" s="299">
        <f t="shared" si="107"/>
        <v>213065.84</v>
      </c>
      <c r="L329" s="301">
        <f t="shared" si="108"/>
        <v>2077.39</v>
      </c>
      <c r="M329" s="154">
        <f t="shared" si="109"/>
        <v>415.48</v>
      </c>
      <c r="N329" s="73">
        <f t="shared" si="110"/>
        <v>2492.87</v>
      </c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64"/>
      <c r="Z329" s="9"/>
      <c r="AA329" s="42"/>
      <c r="AB329" s="52"/>
      <c r="AC329" s="52"/>
      <c r="AD329" s="22"/>
    </row>
    <row r="330" spans="1:30" s="20" customFormat="1" ht="42" hidden="1" customHeight="1" x14ac:dyDescent="0.2">
      <c r="A330" s="350">
        <f t="shared" si="111"/>
        <v>262</v>
      </c>
      <c r="B330" s="328" t="s">
        <v>347</v>
      </c>
      <c r="C330" s="302" t="s">
        <v>359</v>
      </c>
      <c r="D330" s="303" t="s">
        <v>355</v>
      </c>
      <c r="E330" s="303">
        <f>E328*AB331*AC331</f>
        <v>3.7500000000000003E-3</v>
      </c>
      <c r="F330" s="254">
        <v>1</v>
      </c>
      <c r="G330" s="254">
        <f t="shared" si="105"/>
        <v>3.7500000000000003E-3</v>
      </c>
      <c r="H330" s="254">
        <v>437.82</v>
      </c>
      <c r="I330" s="301">
        <f t="shared" si="106"/>
        <v>364.85</v>
      </c>
      <c r="J330" s="254">
        <v>12.981199999999999</v>
      </c>
      <c r="K330" s="299">
        <f t="shared" si="107"/>
        <v>4736.1899999999996</v>
      </c>
      <c r="L330" s="301">
        <f t="shared" si="108"/>
        <v>17.760000000000002</v>
      </c>
      <c r="M330" s="154">
        <f t="shared" si="109"/>
        <v>3.55</v>
      </c>
      <c r="N330" s="73">
        <f t="shared" si="110"/>
        <v>21.31</v>
      </c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64"/>
      <c r="Z330" s="9"/>
      <c r="AA330" s="42"/>
      <c r="AB330" s="52">
        <v>3.15E-2</v>
      </c>
      <c r="AC330" s="52"/>
      <c r="AD330" s="22">
        <f>E330/0.25*0.65</f>
        <v>9.7500000000000017E-3</v>
      </c>
    </row>
    <row r="331" spans="1:30" s="20" customFormat="1" ht="54" hidden="1" customHeight="1" x14ac:dyDescent="0.2">
      <c r="A331" s="350">
        <f t="shared" si="111"/>
        <v>263</v>
      </c>
      <c r="B331" s="328" t="s">
        <v>363</v>
      </c>
      <c r="C331" s="302" t="s">
        <v>364</v>
      </c>
      <c r="D331" s="303" t="s">
        <v>354</v>
      </c>
      <c r="E331" s="303">
        <v>1.2E-2</v>
      </c>
      <c r="F331" s="254">
        <v>1</v>
      </c>
      <c r="G331" s="254">
        <f t="shared" si="105"/>
        <v>1.2E-2</v>
      </c>
      <c r="H331" s="254">
        <v>476.42</v>
      </c>
      <c r="I331" s="301">
        <f t="shared" si="106"/>
        <v>397.01666666666671</v>
      </c>
      <c r="J331" s="254">
        <v>12.981199999999999</v>
      </c>
      <c r="K331" s="299">
        <f t="shared" si="107"/>
        <v>5153.75</v>
      </c>
      <c r="L331" s="301">
        <f t="shared" si="108"/>
        <v>61.85</v>
      </c>
      <c r="M331" s="154">
        <f t="shared" si="109"/>
        <v>12.37</v>
      </c>
      <c r="N331" s="73">
        <f t="shared" si="110"/>
        <v>74.22</v>
      </c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64"/>
      <c r="Z331" s="9"/>
      <c r="AA331" s="42"/>
      <c r="AB331" s="36">
        <v>2.5000000000000001E-4</v>
      </c>
      <c r="AC331" s="52">
        <v>75</v>
      </c>
      <c r="AD331" s="22"/>
    </row>
    <row r="332" spans="1:30" s="20" customFormat="1" ht="44.25" hidden="1" customHeight="1" x14ac:dyDescent="0.2">
      <c r="A332" s="350">
        <f t="shared" si="111"/>
        <v>264</v>
      </c>
      <c r="B332" s="328" t="s">
        <v>349</v>
      </c>
      <c r="C332" s="302" t="s">
        <v>358</v>
      </c>
      <c r="D332" s="330" t="s">
        <v>355</v>
      </c>
      <c r="E332" s="330">
        <f>AD333</f>
        <v>2.4960000000000003E-2</v>
      </c>
      <c r="F332" s="254">
        <v>1</v>
      </c>
      <c r="G332" s="300">
        <f t="shared" si="105"/>
        <v>2.4960000000000003E-2</v>
      </c>
      <c r="H332" s="254">
        <v>19696.099999999999</v>
      </c>
      <c r="I332" s="301">
        <f t="shared" si="106"/>
        <v>16413.416666666668</v>
      </c>
      <c r="J332" s="254">
        <v>12.981199999999999</v>
      </c>
      <c r="K332" s="299">
        <f t="shared" si="107"/>
        <v>213065.84</v>
      </c>
      <c r="L332" s="301">
        <f t="shared" si="108"/>
        <v>5318.12</v>
      </c>
      <c r="M332" s="154">
        <f t="shared" si="109"/>
        <v>1063.6199999999999</v>
      </c>
      <c r="N332" s="73">
        <f t="shared" si="110"/>
        <v>6381.74</v>
      </c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64"/>
      <c r="Z332" s="9"/>
      <c r="AA332" s="42"/>
      <c r="AB332" s="52"/>
      <c r="AC332" s="52"/>
      <c r="AD332" s="22"/>
    </row>
    <row r="333" spans="1:30" s="20" customFormat="1" ht="51.75" hidden="1" customHeight="1" x14ac:dyDescent="0.2">
      <c r="A333" s="350">
        <f t="shared" si="111"/>
        <v>265</v>
      </c>
      <c r="B333" s="328" t="s">
        <v>347</v>
      </c>
      <c r="C333" s="302" t="s">
        <v>357</v>
      </c>
      <c r="D333" s="303" t="s">
        <v>355</v>
      </c>
      <c r="E333" s="303">
        <f>E331*AB334*AC334</f>
        <v>9.6000000000000009E-3</v>
      </c>
      <c r="F333" s="254">
        <v>1</v>
      </c>
      <c r="G333" s="254">
        <f t="shared" si="105"/>
        <v>9.6000000000000009E-3</v>
      </c>
      <c r="H333" s="254">
        <v>437.82</v>
      </c>
      <c r="I333" s="301">
        <f t="shared" si="106"/>
        <v>364.85</v>
      </c>
      <c r="J333" s="254">
        <v>12.981199999999999</v>
      </c>
      <c r="K333" s="299">
        <f t="shared" si="107"/>
        <v>4736.1899999999996</v>
      </c>
      <c r="L333" s="301">
        <f t="shared" si="108"/>
        <v>45.47</v>
      </c>
      <c r="M333" s="154">
        <f t="shared" si="109"/>
        <v>9.09</v>
      </c>
      <c r="N333" s="73">
        <f t="shared" si="110"/>
        <v>54.56</v>
      </c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64"/>
      <c r="Z333" s="9"/>
      <c r="AA333" s="42"/>
      <c r="AB333" s="52">
        <v>0.33600000000000002</v>
      </c>
      <c r="AC333" s="52"/>
      <c r="AD333" s="22">
        <f>E333/0.25*0.65</f>
        <v>2.4960000000000003E-2</v>
      </c>
    </row>
    <row r="334" spans="1:30" s="20" customFormat="1" ht="93.75" hidden="1" customHeight="1" x14ac:dyDescent="0.2">
      <c r="A334" s="350">
        <f t="shared" si="111"/>
        <v>266</v>
      </c>
      <c r="B334" s="328" t="s">
        <v>365</v>
      </c>
      <c r="C334" s="302" t="s">
        <v>366</v>
      </c>
      <c r="D334" s="330" t="s">
        <v>411</v>
      </c>
      <c r="E334" s="330">
        <v>0.2888</v>
      </c>
      <c r="F334" s="254">
        <v>1</v>
      </c>
      <c r="G334" s="254">
        <f t="shared" si="105"/>
        <v>0.2888</v>
      </c>
      <c r="H334" s="254">
        <v>262.08</v>
      </c>
      <c r="I334" s="301">
        <f t="shared" si="106"/>
        <v>218.4</v>
      </c>
      <c r="J334" s="254">
        <v>12.981199999999999</v>
      </c>
      <c r="K334" s="299">
        <f t="shared" si="107"/>
        <v>2835.09</v>
      </c>
      <c r="L334" s="301">
        <f t="shared" si="108"/>
        <v>818.77</v>
      </c>
      <c r="M334" s="154">
        <f t="shared" si="109"/>
        <v>163.75</v>
      </c>
      <c r="N334" s="73">
        <f t="shared" si="110"/>
        <v>982.52</v>
      </c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64"/>
      <c r="Z334" s="9"/>
      <c r="AA334" s="42"/>
      <c r="AB334" s="36">
        <v>2.5000000000000001E-4</v>
      </c>
      <c r="AC334" s="52">
        <v>3200</v>
      </c>
      <c r="AD334" s="22"/>
    </row>
    <row r="335" spans="1:30" s="20" customFormat="1" ht="51" hidden="1" customHeight="1" x14ac:dyDescent="0.2">
      <c r="A335" s="350">
        <f t="shared" si="111"/>
        <v>267</v>
      </c>
      <c r="B335" s="328" t="s">
        <v>349</v>
      </c>
      <c r="C335" s="302" t="s">
        <v>356</v>
      </c>
      <c r="D335" s="330" t="s">
        <v>355</v>
      </c>
      <c r="E335" s="332">
        <f>AD336</f>
        <v>1.8772000000000004E-2</v>
      </c>
      <c r="F335" s="254">
        <v>1</v>
      </c>
      <c r="G335" s="254">
        <f t="shared" si="105"/>
        <v>1.8772000000000004E-2</v>
      </c>
      <c r="H335" s="254">
        <v>19696.099999999999</v>
      </c>
      <c r="I335" s="301">
        <f t="shared" si="106"/>
        <v>16413.416666666668</v>
      </c>
      <c r="J335" s="254">
        <v>12.981199999999999</v>
      </c>
      <c r="K335" s="299">
        <f t="shared" si="107"/>
        <v>213065.84</v>
      </c>
      <c r="L335" s="301">
        <f t="shared" si="108"/>
        <v>3999.67</v>
      </c>
      <c r="M335" s="154">
        <f t="shared" si="109"/>
        <v>799.93</v>
      </c>
      <c r="N335" s="73">
        <f t="shared" si="110"/>
        <v>4799.6000000000004</v>
      </c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9"/>
      <c r="AA335" s="42"/>
      <c r="AB335" s="52"/>
      <c r="AC335" s="52"/>
      <c r="AD335" s="22"/>
    </row>
    <row r="336" spans="1:30" s="20" customFormat="1" ht="61.5" hidden="1" customHeight="1" x14ac:dyDescent="0.2">
      <c r="A336" s="350">
        <f t="shared" si="111"/>
        <v>268</v>
      </c>
      <c r="B336" s="328" t="s">
        <v>347</v>
      </c>
      <c r="C336" s="302" t="s">
        <v>357</v>
      </c>
      <c r="D336" s="303" t="s">
        <v>355</v>
      </c>
      <c r="E336" s="303">
        <f>E334*AB338*AC338</f>
        <v>7.2200000000000007E-3</v>
      </c>
      <c r="F336" s="254">
        <v>1</v>
      </c>
      <c r="G336" s="254">
        <f t="shared" si="105"/>
        <v>7.2200000000000007E-3</v>
      </c>
      <c r="H336" s="254">
        <v>437.82</v>
      </c>
      <c r="I336" s="301">
        <f t="shared" si="106"/>
        <v>364.85</v>
      </c>
      <c r="J336" s="254">
        <v>12.981199999999999</v>
      </c>
      <c r="K336" s="299">
        <f t="shared" si="107"/>
        <v>4736.1899999999996</v>
      </c>
      <c r="L336" s="301">
        <f t="shared" si="108"/>
        <v>34.200000000000003</v>
      </c>
      <c r="M336" s="154">
        <f t="shared" si="109"/>
        <v>6.84</v>
      </c>
      <c r="N336" s="73">
        <f t="shared" si="110"/>
        <v>41.04</v>
      </c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134"/>
      <c r="Z336" s="9"/>
      <c r="AA336" s="42"/>
      <c r="AB336" s="52"/>
      <c r="AC336" s="52"/>
      <c r="AD336" s="22">
        <f>E336/0.25*0.65</f>
        <v>1.8772000000000004E-2</v>
      </c>
    </row>
    <row r="337" spans="1:30" s="20" customFormat="1" ht="12.75" hidden="1" x14ac:dyDescent="0.2">
      <c r="A337" s="350"/>
      <c r="B337" s="328"/>
      <c r="C337" s="302"/>
      <c r="D337" s="303"/>
      <c r="E337" s="303"/>
      <c r="F337" s="254"/>
      <c r="G337" s="254"/>
      <c r="H337" s="254"/>
      <c r="I337" s="301"/>
      <c r="J337" s="254"/>
      <c r="K337" s="299"/>
      <c r="L337" s="301"/>
      <c r="M337" s="154"/>
      <c r="N337" s="73"/>
      <c r="O337" s="530">
        <v>17204.11</v>
      </c>
      <c r="P337" s="73"/>
      <c r="Q337" s="73"/>
      <c r="R337" s="73"/>
      <c r="S337" s="73"/>
      <c r="T337" s="73"/>
      <c r="U337" s="73"/>
      <c r="V337" s="73"/>
      <c r="W337" s="73"/>
      <c r="X337" s="73"/>
      <c r="Y337" s="134"/>
      <c r="Z337" s="9"/>
      <c r="AA337" s="42"/>
      <c r="AB337" s="52"/>
      <c r="AC337" s="52"/>
      <c r="AD337" s="22"/>
    </row>
    <row r="338" spans="1:30" s="20" customFormat="1" ht="48.75" hidden="1" customHeight="1" x14ac:dyDescent="0.2">
      <c r="A338" s="241"/>
      <c r="B338" s="261"/>
      <c r="C338" s="237" t="s">
        <v>451</v>
      </c>
      <c r="D338" s="240"/>
      <c r="E338" s="239"/>
      <c r="F338" s="239"/>
      <c r="G338" s="262"/>
      <c r="H338" s="239"/>
      <c r="I338" s="239"/>
      <c r="J338" s="239"/>
      <c r="K338" s="239"/>
      <c r="L338" s="263">
        <f>SUM(L229:L336)-0.02</f>
        <v>11352143.93</v>
      </c>
      <c r="M338" s="264">
        <f>ROUND(L338*0.2,2)</f>
        <v>2270428.79</v>
      </c>
      <c r="N338" s="265">
        <f>L338+M338</f>
        <v>13622572.719999999</v>
      </c>
      <c r="O338" s="265"/>
      <c r="P338" s="265"/>
      <c r="Q338" s="265"/>
      <c r="R338" s="265"/>
      <c r="S338" s="265"/>
      <c r="T338" s="265"/>
      <c r="U338" s="265"/>
      <c r="V338" s="265"/>
      <c r="W338" s="265"/>
      <c r="X338" s="265"/>
      <c r="Y338" s="99"/>
      <c r="Z338" s="9"/>
      <c r="AA338" s="42"/>
      <c r="AB338" s="36">
        <v>2.5000000000000001E-4</v>
      </c>
      <c r="AC338" s="52">
        <v>100</v>
      </c>
      <c r="AD338" s="22"/>
    </row>
    <row r="339" spans="1:30" s="39" customFormat="1" ht="21" hidden="1" customHeight="1" x14ac:dyDescent="0.2">
      <c r="A339" s="335"/>
      <c r="B339" s="235"/>
      <c r="C339" s="235" t="s">
        <v>208</v>
      </c>
      <c r="D339" s="206"/>
      <c r="E339" s="206"/>
      <c r="F339" s="206"/>
      <c r="G339" s="206"/>
      <c r="H339" s="206"/>
      <c r="I339" s="206"/>
      <c r="J339" s="206"/>
      <c r="K339" s="206"/>
      <c r="L339" s="351"/>
      <c r="M339" s="352"/>
      <c r="N339" s="352"/>
      <c r="O339" s="352" t="s">
        <v>538</v>
      </c>
      <c r="P339" s="352" t="s">
        <v>409</v>
      </c>
      <c r="Q339" s="352" t="s">
        <v>74</v>
      </c>
      <c r="R339" s="352" t="s">
        <v>533</v>
      </c>
      <c r="S339" s="352" t="s">
        <v>75</v>
      </c>
      <c r="T339" s="352"/>
      <c r="U339" s="352"/>
      <c r="V339" s="352"/>
      <c r="W339" s="352"/>
      <c r="X339" s="352"/>
      <c r="Y339" s="93"/>
      <c r="Z339" s="10"/>
      <c r="AA339" s="37"/>
      <c r="AB339" s="38"/>
      <c r="AC339" s="38"/>
      <c r="AD339" s="41">
        <f>N325+N326+N327+N328+N329+N330+N331+N332+N334+N335+N336</f>
        <v>17149.550000000003</v>
      </c>
    </row>
    <row r="340" spans="1:30" s="20" customFormat="1" ht="25.5" hidden="1" x14ac:dyDescent="0.2">
      <c r="A340" s="335"/>
      <c r="B340" s="235"/>
      <c r="C340" s="219" t="s">
        <v>146</v>
      </c>
      <c r="D340" s="168"/>
      <c r="E340" s="339"/>
      <c r="F340" s="173"/>
      <c r="G340" s="340"/>
      <c r="H340" s="167"/>
      <c r="I340" s="167"/>
      <c r="J340" s="167"/>
      <c r="K340" s="167"/>
      <c r="L340" s="340"/>
      <c r="M340" s="341"/>
      <c r="N340" s="353"/>
      <c r="O340" s="77">
        <f>O388+O543+Q341+R341</f>
        <v>5801545.7480000006</v>
      </c>
      <c r="P340" s="537">
        <f>O417+Q341+R342+0.009</f>
        <v>6133487.390999998</v>
      </c>
      <c r="Q340" s="538">
        <f>O479</f>
        <v>438907.13000000006</v>
      </c>
      <c r="R340" s="538">
        <f>O427</f>
        <v>220508.66999999998</v>
      </c>
      <c r="S340" s="539">
        <f>O543</f>
        <v>152430.43999999994</v>
      </c>
      <c r="T340" s="9">
        <f>O340+P340</f>
        <v>11935033.138999999</v>
      </c>
      <c r="U340" s="353"/>
      <c r="V340" s="353"/>
      <c r="W340" s="353"/>
      <c r="X340" s="353"/>
      <c r="Y340" s="181">
        <f>SUM(N342:N387)</f>
        <v>5341458.28</v>
      </c>
      <c r="Z340" s="496"/>
      <c r="AA340" s="18"/>
      <c r="AB340" s="22" t="s">
        <v>318</v>
      </c>
      <c r="AC340" s="22" t="s">
        <v>319</v>
      </c>
      <c r="AD340" s="22" t="s">
        <v>320</v>
      </c>
    </row>
    <row r="341" spans="1:30" s="20" customFormat="1" ht="25.5" hidden="1" x14ac:dyDescent="0.2">
      <c r="A341" s="335"/>
      <c r="B341" s="307"/>
      <c r="C341" s="224" t="s">
        <v>147</v>
      </c>
      <c r="D341" s="292"/>
      <c r="E341" s="170"/>
      <c r="F341" s="282"/>
      <c r="G341" s="167"/>
      <c r="H341" s="293"/>
      <c r="I341" s="293"/>
      <c r="J341" s="293"/>
      <c r="K341" s="293"/>
      <c r="L341" s="167"/>
      <c r="M341" s="171"/>
      <c r="N341" s="172"/>
      <c r="O341" s="171">
        <f>R341+Q341+S340+O388</f>
        <v>5801545.7480000006</v>
      </c>
      <c r="P341" s="172"/>
      <c r="Q341" s="73">
        <v>219453.56</v>
      </c>
      <c r="R341" s="171">
        <f>R340*0.4</f>
        <v>88203.467999999993</v>
      </c>
      <c r="S341" s="172"/>
      <c r="T341" s="172"/>
      <c r="U341" s="172"/>
      <c r="V341" s="172"/>
      <c r="W341" s="172"/>
      <c r="X341" s="172"/>
      <c r="Y341" s="110"/>
      <c r="Z341" s="497"/>
      <c r="AA341" s="18"/>
      <c r="AB341" s="19"/>
      <c r="AC341" s="19" t="e">
        <f>#REF!+#REF!+#REF!+#REF!+#REF!+#REF!+#REF!+#REF!+#REF!+#REF!+#REF!+#REF!+#REF!+#REF!+#REF!+#REF!+#REF!+#REF!+#REF!+#REF!+#REF!+#REF!</f>
        <v>#REF!</v>
      </c>
      <c r="AD341" s="19" t="e">
        <f>N418+N419+N420+#REF!+#REF!+#REF!+N421+N423+N424+N425+#REF!+#REF!+#REF!+N426+N438+N439+N440+N441+N442+N443+#REF!+#REF!+N444+N455+N456+N457+N458+N459+N460+#REF!+#REF!+N461+N472+N473+N474+N475+N476+N477+#REF!+#REF!+#REF!</f>
        <v>#REF!</v>
      </c>
    </row>
    <row r="342" spans="1:30" s="20" customFormat="1" ht="51" hidden="1" x14ac:dyDescent="0.2">
      <c r="A342" s="335">
        <f>A336+1</f>
        <v>269</v>
      </c>
      <c r="B342" s="257" t="s">
        <v>456</v>
      </c>
      <c r="C342" s="304" t="s">
        <v>457</v>
      </c>
      <c r="D342" s="318" t="s">
        <v>519</v>
      </c>
      <c r="E342" s="354">
        <v>100</v>
      </c>
      <c r="F342" s="355">
        <v>1</v>
      </c>
      <c r="G342" s="254">
        <f>ROUND(E342*F342,2)</f>
        <v>100</v>
      </c>
      <c r="H342" s="298"/>
      <c r="I342" s="299">
        <v>8.66</v>
      </c>
      <c r="J342" s="300">
        <v>1.9442999999999999</v>
      </c>
      <c r="K342" s="299">
        <f t="shared" ref="K342:K352" si="112">ROUND(I342*J342,2)</f>
        <v>16.84</v>
      </c>
      <c r="L342" s="301">
        <f t="shared" ref="L342:L352" si="113">ROUND(K342*G342,2)</f>
        <v>1684</v>
      </c>
      <c r="M342" s="154">
        <f t="shared" ref="M342:M352" si="114">ROUND(L342*0.2,2)</f>
        <v>336.8</v>
      </c>
      <c r="N342" s="73">
        <f t="shared" ref="N342:N352" si="115">ROUND(L342+M342,2)</f>
        <v>2020.8</v>
      </c>
      <c r="O342" s="73"/>
      <c r="P342" s="73"/>
      <c r="Q342" s="73">
        <v>219453.56500000003</v>
      </c>
      <c r="R342" s="73">
        <f>R340-R341</f>
        <v>132305.20199999999</v>
      </c>
      <c r="S342" s="73"/>
      <c r="T342" s="73"/>
      <c r="U342" s="73"/>
      <c r="V342" s="73"/>
      <c r="W342" s="73"/>
      <c r="X342" s="73"/>
      <c r="Y342" s="150"/>
      <c r="Z342" s="23"/>
      <c r="AA342" s="18"/>
      <c r="AB342" s="22"/>
      <c r="AC342" s="60" t="e">
        <f>AC341*0.3/0.7</f>
        <v>#REF!</v>
      </c>
      <c r="AD342" s="60" t="e">
        <f>AD341*0.3/0.7</f>
        <v>#REF!</v>
      </c>
    </row>
    <row r="343" spans="1:30" s="20" customFormat="1" ht="51" hidden="1" x14ac:dyDescent="0.2">
      <c r="A343" s="335">
        <f t="shared" ref="A343:A353" si="116">A342+1</f>
        <v>270</v>
      </c>
      <c r="B343" s="257" t="s">
        <v>458</v>
      </c>
      <c r="C343" s="304" t="s">
        <v>459</v>
      </c>
      <c r="D343" s="318" t="s">
        <v>513</v>
      </c>
      <c r="E343" s="354">
        <v>1</v>
      </c>
      <c r="F343" s="355">
        <v>1</v>
      </c>
      <c r="G343" s="254">
        <f>ROUND(E343*F343,2)</f>
        <v>1</v>
      </c>
      <c r="H343" s="298"/>
      <c r="I343" s="299">
        <v>55423.41</v>
      </c>
      <c r="J343" s="300">
        <v>1.9442999999999999</v>
      </c>
      <c r="K343" s="299">
        <f t="shared" si="112"/>
        <v>107759.74</v>
      </c>
      <c r="L343" s="301">
        <f t="shared" si="113"/>
        <v>107759.74</v>
      </c>
      <c r="M343" s="154">
        <f t="shared" si="114"/>
        <v>21551.95</v>
      </c>
      <c r="N343" s="73">
        <f t="shared" si="115"/>
        <v>129311.69</v>
      </c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110"/>
      <c r="Z343" s="23"/>
      <c r="AA343" s="18"/>
      <c r="AB343" s="22"/>
      <c r="AC343" s="60"/>
      <c r="AD343" s="60"/>
    </row>
    <row r="344" spans="1:30" s="20" customFormat="1" ht="48.75" hidden="1" customHeight="1" x14ac:dyDescent="0.2">
      <c r="A344" s="335">
        <f t="shared" si="116"/>
        <v>271</v>
      </c>
      <c r="B344" s="257" t="s">
        <v>460</v>
      </c>
      <c r="C344" s="304" t="s">
        <v>461</v>
      </c>
      <c r="D344" s="318" t="s">
        <v>513</v>
      </c>
      <c r="E344" s="354">
        <v>1</v>
      </c>
      <c r="F344" s="355">
        <v>1</v>
      </c>
      <c r="G344" s="254">
        <f>ROUND(E344*F344,2)</f>
        <v>1</v>
      </c>
      <c r="H344" s="298"/>
      <c r="I344" s="299">
        <v>1959.47</v>
      </c>
      <c r="J344" s="300">
        <v>1.9442999999999999</v>
      </c>
      <c r="K344" s="299">
        <f t="shared" si="112"/>
        <v>3809.8</v>
      </c>
      <c r="L344" s="301">
        <f t="shared" si="113"/>
        <v>3809.8</v>
      </c>
      <c r="M344" s="154">
        <f t="shared" si="114"/>
        <v>761.96</v>
      </c>
      <c r="N344" s="73">
        <f t="shared" si="115"/>
        <v>4571.76</v>
      </c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135"/>
      <c r="Z344" s="23"/>
      <c r="AA344" s="18"/>
      <c r="AB344" s="22"/>
      <c r="AC344" s="60"/>
      <c r="AD344" s="60"/>
    </row>
    <row r="345" spans="1:30" s="20" customFormat="1" ht="47.25" hidden="1" customHeight="1" x14ac:dyDescent="0.2">
      <c r="A345" s="335">
        <f t="shared" si="116"/>
        <v>272</v>
      </c>
      <c r="B345" s="348" t="s">
        <v>209</v>
      </c>
      <c r="C345" s="302" t="s">
        <v>76</v>
      </c>
      <c r="D345" s="254" t="s">
        <v>425</v>
      </c>
      <c r="E345" s="254">
        <v>65.671999999999997</v>
      </c>
      <c r="F345" s="254">
        <v>1</v>
      </c>
      <c r="G345" s="254">
        <f>ROUND(E345*F345,2)</f>
        <v>65.67</v>
      </c>
      <c r="H345" s="254"/>
      <c r="I345" s="299">
        <v>343.08</v>
      </c>
      <c r="J345" s="300">
        <v>1.9442999999999999</v>
      </c>
      <c r="K345" s="299">
        <f t="shared" si="112"/>
        <v>667.05</v>
      </c>
      <c r="L345" s="301">
        <f t="shared" si="113"/>
        <v>43805.17</v>
      </c>
      <c r="M345" s="154">
        <f t="shared" si="114"/>
        <v>8761.0300000000007</v>
      </c>
      <c r="N345" s="73">
        <f t="shared" si="115"/>
        <v>52566.2</v>
      </c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110"/>
      <c r="Z345" s="23"/>
      <c r="AA345" s="18"/>
      <c r="AB345" s="22"/>
      <c r="AC345" s="60"/>
      <c r="AD345" s="60"/>
    </row>
    <row r="346" spans="1:30" s="20" customFormat="1" ht="36" hidden="1" customHeight="1" x14ac:dyDescent="0.2">
      <c r="A346" s="335">
        <f t="shared" si="116"/>
        <v>273</v>
      </c>
      <c r="B346" s="348" t="s">
        <v>210</v>
      </c>
      <c r="C346" s="302" t="s">
        <v>336</v>
      </c>
      <c r="D346" s="254" t="s">
        <v>425</v>
      </c>
      <c r="E346" s="254">
        <v>51.85</v>
      </c>
      <c r="F346" s="254">
        <v>3</v>
      </c>
      <c r="G346" s="254">
        <f t="shared" ref="G346:G353" si="117">ROUND(E346*F346,2)</f>
        <v>155.55000000000001</v>
      </c>
      <c r="H346" s="254"/>
      <c r="I346" s="299">
        <v>188.57</v>
      </c>
      <c r="J346" s="300">
        <v>1.9442999999999999</v>
      </c>
      <c r="K346" s="299">
        <f t="shared" si="112"/>
        <v>366.64</v>
      </c>
      <c r="L346" s="301">
        <f t="shared" si="113"/>
        <v>57030.85</v>
      </c>
      <c r="M346" s="154">
        <f t="shared" si="114"/>
        <v>11406.17</v>
      </c>
      <c r="N346" s="73">
        <f t="shared" si="115"/>
        <v>68437.02</v>
      </c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156"/>
      <c r="Z346" s="9"/>
      <c r="AA346" s="18"/>
      <c r="AB346" s="19"/>
      <c r="AC346" s="22"/>
      <c r="AD346" s="22"/>
    </row>
    <row r="347" spans="1:30" s="20" customFormat="1" ht="43.5" hidden="1" customHeight="1" x14ac:dyDescent="0.2">
      <c r="A347" s="335">
        <f t="shared" si="116"/>
        <v>274</v>
      </c>
      <c r="B347" s="348" t="s">
        <v>210</v>
      </c>
      <c r="C347" s="302" t="s">
        <v>78</v>
      </c>
      <c r="D347" s="254" t="s">
        <v>425</v>
      </c>
      <c r="E347" s="254">
        <v>382.62</v>
      </c>
      <c r="F347" s="254">
        <v>2</v>
      </c>
      <c r="G347" s="254">
        <f t="shared" si="117"/>
        <v>765.24</v>
      </c>
      <c r="H347" s="254"/>
      <c r="I347" s="299">
        <v>188.57</v>
      </c>
      <c r="J347" s="300">
        <v>1.9442999999999999</v>
      </c>
      <c r="K347" s="299">
        <f t="shared" si="112"/>
        <v>366.64</v>
      </c>
      <c r="L347" s="301">
        <f t="shared" si="113"/>
        <v>280567.59000000003</v>
      </c>
      <c r="M347" s="154">
        <f t="shared" si="114"/>
        <v>56113.52</v>
      </c>
      <c r="N347" s="73">
        <f t="shared" si="115"/>
        <v>336681.11</v>
      </c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64"/>
      <c r="Z347" s="9"/>
      <c r="AA347" s="498"/>
      <c r="AB347" s="51"/>
      <c r="AC347" s="22"/>
      <c r="AD347" s="22"/>
    </row>
    <row r="348" spans="1:30" s="20" customFormat="1" ht="76.5" hidden="1" customHeight="1" x14ac:dyDescent="0.2">
      <c r="A348" s="335">
        <f t="shared" si="116"/>
        <v>275</v>
      </c>
      <c r="B348" s="348" t="s">
        <v>210</v>
      </c>
      <c r="C348" s="302" t="s">
        <v>79</v>
      </c>
      <c r="D348" s="254" t="s">
        <v>354</v>
      </c>
      <c r="E348" s="254">
        <v>156.32</v>
      </c>
      <c r="F348" s="254">
        <v>1</v>
      </c>
      <c r="G348" s="254">
        <f t="shared" si="117"/>
        <v>156.32</v>
      </c>
      <c r="H348" s="254"/>
      <c r="I348" s="299">
        <v>188.57</v>
      </c>
      <c r="J348" s="300">
        <v>1.9442999999999999</v>
      </c>
      <c r="K348" s="299">
        <f t="shared" si="112"/>
        <v>366.64</v>
      </c>
      <c r="L348" s="301">
        <f t="shared" si="113"/>
        <v>57313.16</v>
      </c>
      <c r="M348" s="154">
        <f t="shared" si="114"/>
        <v>11462.63</v>
      </c>
      <c r="N348" s="73">
        <f t="shared" si="115"/>
        <v>68775.789999999994</v>
      </c>
      <c r="O348" s="515"/>
      <c r="P348" s="515"/>
      <c r="Q348" s="515"/>
      <c r="R348" s="515"/>
      <c r="S348" s="515"/>
      <c r="T348" s="515"/>
      <c r="U348" s="515"/>
      <c r="V348" s="515"/>
      <c r="W348" s="515"/>
      <c r="X348" s="515"/>
      <c r="Y348" s="22"/>
      <c r="Z348" s="9"/>
      <c r="AA348" s="18"/>
      <c r="AB348" s="22"/>
      <c r="AC348" s="22"/>
      <c r="AD348" s="22"/>
    </row>
    <row r="349" spans="1:30" s="20" customFormat="1" ht="76.5" hidden="1" x14ac:dyDescent="0.2">
      <c r="A349" s="335">
        <f t="shared" si="116"/>
        <v>276</v>
      </c>
      <c r="B349" s="348" t="s">
        <v>211</v>
      </c>
      <c r="C349" s="257" t="s">
        <v>64</v>
      </c>
      <c r="D349" s="254" t="s">
        <v>411</v>
      </c>
      <c r="E349" s="254">
        <f>13.86+17.4+0.94</f>
        <v>32.199999999999996</v>
      </c>
      <c r="F349" s="254">
        <v>2</v>
      </c>
      <c r="G349" s="254">
        <f t="shared" si="117"/>
        <v>64.400000000000006</v>
      </c>
      <c r="H349" s="254"/>
      <c r="I349" s="299">
        <v>44.32</v>
      </c>
      <c r="J349" s="300">
        <v>1.9442999999999999</v>
      </c>
      <c r="K349" s="299">
        <f>ROUND(I349*J349,2)</f>
        <v>86.17</v>
      </c>
      <c r="L349" s="301">
        <f t="shared" si="113"/>
        <v>5549.35</v>
      </c>
      <c r="M349" s="154">
        <f t="shared" si="114"/>
        <v>1109.8699999999999</v>
      </c>
      <c r="N349" s="73">
        <f t="shared" si="115"/>
        <v>6659.22</v>
      </c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64"/>
      <c r="Z349" s="9"/>
      <c r="AA349" s="18"/>
      <c r="AB349" s="22"/>
      <c r="AC349" s="22"/>
      <c r="AD349" s="22"/>
    </row>
    <row r="350" spans="1:30" s="20" customFormat="1" ht="76.5" hidden="1" x14ac:dyDescent="0.2">
      <c r="A350" s="335">
        <f t="shared" si="116"/>
        <v>277</v>
      </c>
      <c r="B350" s="348" t="s">
        <v>212</v>
      </c>
      <c r="C350" s="302" t="s">
        <v>80</v>
      </c>
      <c r="D350" s="254" t="s">
        <v>411</v>
      </c>
      <c r="E350" s="254">
        <v>9.6</v>
      </c>
      <c r="F350" s="254">
        <v>2</v>
      </c>
      <c r="G350" s="254">
        <f t="shared" si="117"/>
        <v>19.2</v>
      </c>
      <c r="H350" s="254"/>
      <c r="I350" s="299">
        <v>66.5</v>
      </c>
      <c r="J350" s="300">
        <v>1.9442999999999999</v>
      </c>
      <c r="K350" s="299">
        <f t="shared" si="112"/>
        <v>129.30000000000001</v>
      </c>
      <c r="L350" s="301">
        <f t="shared" si="113"/>
        <v>2482.56</v>
      </c>
      <c r="M350" s="154">
        <f t="shared" si="114"/>
        <v>496.51</v>
      </c>
      <c r="N350" s="73">
        <f t="shared" si="115"/>
        <v>2979.07</v>
      </c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64"/>
      <c r="Z350" s="9"/>
      <c r="AA350" s="18"/>
      <c r="AB350" s="22"/>
      <c r="AC350" s="22"/>
      <c r="AD350" s="22"/>
    </row>
    <row r="351" spans="1:30" s="20" customFormat="1" ht="76.5" hidden="1" x14ac:dyDescent="0.2">
      <c r="A351" s="335">
        <f t="shared" si="116"/>
        <v>278</v>
      </c>
      <c r="B351" s="348" t="s">
        <v>213</v>
      </c>
      <c r="C351" s="302" t="s">
        <v>105</v>
      </c>
      <c r="D351" s="254" t="s">
        <v>422</v>
      </c>
      <c r="E351" s="254">
        <v>4</v>
      </c>
      <c r="F351" s="254">
        <v>3</v>
      </c>
      <c r="G351" s="254">
        <f t="shared" si="117"/>
        <v>12</v>
      </c>
      <c r="H351" s="254"/>
      <c r="I351" s="299">
        <v>218.45</v>
      </c>
      <c r="J351" s="300">
        <v>1.9442999999999999</v>
      </c>
      <c r="K351" s="299">
        <f t="shared" si="112"/>
        <v>424.73</v>
      </c>
      <c r="L351" s="301">
        <f t="shared" si="113"/>
        <v>5096.76</v>
      </c>
      <c r="M351" s="154">
        <f t="shared" si="114"/>
        <v>1019.35</v>
      </c>
      <c r="N351" s="73">
        <f t="shared" si="115"/>
        <v>6116.11</v>
      </c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64"/>
      <c r="Z351" s="9"/>
      <c r="AA351" s="18"/>
      <c r="AB351" s="22"/>
      <c r="AC351" s="22"/>
      <c r="AD351" s="22"/>
    </row>
    <row r="352" spans="1:30" s="20" customFormat="1" ht="76.5" hidden="1" x14ac:dyDescent="0.2">
      <c r="A352" s="335">
        <f t="shared" si="116"/>
        <v>279</v>
      </c>
      <c r="B352" s="348" t="s">
        <v>214</v>
      </c>
      <c r="C352" s="302" t="s">
        <v>106</v>
      </c>
      <c r="D352" s="254" t="s">
        <v>354</v>
      </c>
      <c r="E352" s="254">
        <v>233.32</v>
      </c>
      <c r="F352" s="254">
        <v>2</v>
      </c>
      <c r="G352" s="254">
        <f t="shared" si="117"/>
        <v>466.64</v>
      </c>
      <c r="H352" s="254"/>
      <c r="I352" s="299">
        <v>241.57</v>
      </c>
      <c r="J352" s="300">
        <v>1.9442999999999999</v>
      </c>
      <c r="K352" s="299">
        <f t="shared" si="112"/>
        <v>469.68</v>
      </c>
      <c r="L352" s="301">
        <f t="shared" si="113"/>
        <v>219171.48</v>
      </c>
      <c r="M352" s="154">
        <f t="shared" si="114"/>
        <v>43834.3</v>
      </c>
      <c r="N352" s="73">
        <f t="shared" si="115"/>
        <v>263005.78000000003</v>
      </c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64"/>
      <c r="Z352" s="9"/>
      <c r="AA352" s="18"/>
      <c r="AB352" s="22"/>
      <c r="AC352" s="22"/>
      <c r="AD352" s="22"/>
    </row>
    <row r="353" spans="1:30" s="20" customFormat="1" ht="48" hidden="1" customHeight="1" x14ac:dyDescent="0.2">
      <c r="A353" s="335">
        <f t="shared" si="116"/>
        <v>280</v>
      </c>
      <c r="B353" s="342" t="s">
        <v>505</v>
      </c>
      <c r="C353" s="257" t="s">
        <v>504</v>
      </c>
      <c r="D353" s="254" t="s">
        <v>355</v>
      </c>
      <c r="E353" s="254">
        <v>4</v>
      </c>
      <c r="F353" s="254">
        <v>2</v>
      </c>
      <c r="G353" s="254">
        <f t="shared" si="117"/>
        <v>8</v>
      </c>
      <c r="H353" s="299"/>
      <c r="I353" s="306"/>
      <c r="J353" s="300"/>
      <c r="K353" s="299">
        <v>4405.2299999999996</v>
      </c>
      <c r="L353" s="301">
        <f>ROUND(K353*G353,2)</f>
        <v>35241.839999999997</v>
      </c>
      <c r="M353" s="154">
        <f>ROUND(L353*0.2,2)</f>
        <v>7048.37</v>
      </c>
      <c r="N353" s="73">
        <f>ROUND(M353+L353,2)</f>
        <v>42290.21</v>
      </c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64"/>
      <c r="Z353" s="9"/>
      <c r="AA353" s="18"/>
      <c r="AB353" s="22"/>
      <c r="AC353" s="22"/>
      <c r="AD353" s="22"/>
    </row>
    <row r="354" spans="1:30" s="20" customFormat="1" ht="29.25" hidden="1" customHeight="1" x14ac:dyDescent="0.2">
      <c r="A354" s="335"/>
      <c r="B354" s="348"/>
      <c r="C354" s="219" t="s">
        <v>81</v>
      </c>
      <c r="D354" s="254"/>
      <c r="E354" s="254"/>
      <c r="F354" s="254"/>
      <c r="G354" s="254"/>
      <c r="H354" s="254"/>
      <c r="I354" s="299"/>
      <c r="J354" s="300"/>
      <c r="K354" s="299"/>
      <c r="L354" s="301"/>
      <c r="M354" s="154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64"/>
      <c r="Z354" s="9"/>
      <c r="AA354" s="18"/>
      <c r="AB354" s="22"/>
      <c r="AC354" s="22"/>
      <c r="AD354" s="22"/>
    </row>
    <row r="355" spans="1:30" s="20" customFormat="1" ht="59.25" hidden="1" customHeight="1" x14ac:dyDescent="0.2">
      <c r="A355" s="335">
        <f>A353+1</f>
        <v>281</v>
      </c>
      <c r="B355" s="348" t="s">
        <v>215</v>
      </c>
      <c r="C355" s="302" t="s">
        <v>107</v>
      </c>
      <c r="D355" s="254" t="s">
        <v>411</v>
      </c>
      <c r="E355" s="254">
        <f>16.06*0.2</f>
        <v>3.2119999999999997</v>
      </c>
      <c r="F355" s="254">
        <v>1</v>
      </c>
      <c r="G355" s="254">
        <f t="shared" ref="G355:G360" si="118">ROUND(E355*F355,2)</f>
        <v>3.21</v>
      </c>
      <c r="H355" s="254"/>
      <c r="I355" s="299">
        <v>64649.39</v>
      </c>
      <c r="J355" s="300">
        <v>1.9442999999999999</v>
      </c>
      <c r="K355" s="299">
        <f t="shared" ref="K355:K360" si="119">ROUND(I355*J355,2)</f>
        <v>125697.81</v>
      </c>
      <c r="L355" s="301">
        <f t="shared" ref="L355:L360" si="120">ROUND(K355*G355,2)</f>
        <v>403489.97</v>
      </c>
      <c r="M355" s="154">
        <f t="shared" ref="M355:M363" si="121">ROUND(L355*0.2,2)</f>
        <v>80697.990000000005</v>
      </c>
      <c r="N355" s="73">
        <f t="shared" ref="N355:N363" si="122">ROUND(L355+M355,2)</f>
        <v>484187.96</v>
      </c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64">
        <f>N355+N356+N357</f>
        <v>1861764.56</v>
      </c>
      <c r="Z355" s="9"/>
      <c r="AA355" s="18"/>
      <c r="AB355" s="22"/>
      <c r="AC355" s="22"/>
      <c r="AD355" s="22"/>
    </row>
    <row r="356" spans="1:30" s="20" customFormat="1" ht="37.5" hidden="1" customHeight="1" x14ac:dyDescent="0.2">
      <c r="A356" s="335">
        <f>A355+1</f>
        <v>282</v>
      </c>
      <c r="B356" s="348" t="s">
        <v>216</v>
      </c>
      <c r="C356" s="302" t="s">
        <v>108</v>
      </c>
      <c r="D356" s="254" t="s">
        <v>411</v>
      </c>
      <c r="E356" s="254">
        <f>12.06*0.4</f>
        <v>4.8240000000000007</v>
      </c>
      <c r="F356" s="254">
        <v>1</v>
      </c>
      <c r="G356" s="254">
        <f t="shared" si="118"/>
        <v>4.82</v>
      </c>
      <c r="H356" s="254"/>
      <c r="I356" s="299">
        <v>77125.899999999994</v>
      </c>
      <c r="J356" s="300">
        <v>1.9442999999999999</v>
      </c>
      <c r="K356" s="299">
        <f t="shared" si="119"/>
        <v>149955.89000000001</v>
      </c>
      <c r="L356" s="301">
        <f t="shared" si="120"/>
        <v>722787.39</v>
      </c>
      <c r="M356" s="154">
        <f t="shared" si="121"/>
        <v>144557.48000000001</v>
      </c>
      <c r="N356" s="73">
        <f t="shared" si="122"/>
        <v>867344.87</v>
      </c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64"/>
      <c r="Z356" s="9"/>
      <c r="AA356" s="18"/>
      <c r="AB356" s="63">
        <f>1606547*0.0005/100</f>
        <v>8.0327350000000006</v>
      </c>
      <c r="AC356" s="22">
        <v>1606.547</v>
      </c>
      <c r="AD356" s="22"/>
    </row>
    <row r="357" spans="1:30" s="20" customFormat="1" ht="114.75" hidden="1" x14ac:dyDescent="0.2">
      <c r="A357" s="335">
        <f>A356+1</f>
        <v>283</v>
      </c>
      <c r="B357" s="348" t="s">
        <v>217</v>
      </c>
      <c r="C357" s="302" t="s">
        <v>103</v>
      </c>
      <c r="D357" s="254" t="s">
        <v>437</v>
      </c>
      <c r="E357" s="254">
        <f>2309*0.3</f>
        <v>692.69999999999993</v>
      </c>
      <c r="F357" s="254">
        <v>1</v>
      </c>
      <c r="G357" s="254">
        <f t="shared" si="118"/>
        <v>692.7</v>
      </c>
      <c r="H357" s="254"/>
      <c r="I357" s="299">
        <v>315.7</v>
      </c>
      <c r="J357" s="300">
        <v>1.9442999999999999</v>
      </c>
      <c r="K357" s="299">
        <f t="shared" si="119"/>
        <v>613.82000000000005</v>
      </c>
      <c r="L357" s="301">
        <f t="shared" si="120"/>
        <v>425193.11</v>
      </c>
      <c r="M357" s="154">
        <f t="shared" si="121"/>
        <v>85038.62</v>
      </c>
      <c r="N357" s="73">
        <f t="shared" si="122"/>
        <v>510231.73</v>
      </c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64"/>
      <c r="Z357" s="9"/>
      <c r="AA357" s="18"/>
      <c r="AB357" s="22">
        <f>AB356/2</f>
        <v>4.0163675000000003</v>
      </c>
      <c r="AC357" s="22"/>
      <c r="AD357" s="22"/>
    </row>
    <row r="358" spans="1:30" s="20" customFormat="1" ht="89.25" hidden="1" x14ac:dyDescent="0.2">
      <c r="A358" s="335">
        <f>A357+1</f>
        <v>284</v>
      </c>
      <c r="B358" s="348" t="s">
        <v>218</v>
      </c>
      <c r="C358" s="302" t="s">
        <v>82</v>
      </c>
      <c r="D358" s="254" t="s">
        <v>433</v>
      </c>
      <c r="E358" s="254">
        <f>1645*0.5</f>
        <v>822.5</v>
      </c>
      <c r="F358" s="254">
        <v>1</v>
      </c>
      <c r="G358" s="254">
        <f t="shared" si="118"/>
        <v>822.5</v>
      </c>
      <c r="H358" s="254"/>
      <c r="I358" s="299">
        <v>35.799999999999997</v>
      </c>
      <c r="J358" s="300">
        <v>1.9442999999999999</v>
      </c>
      <c r="K358" s="299">
        <f t="shared" si="119"/>
        <v>69.61</v>
      </c>
      <c r="L358" s="301">
        <f t="shared" si="120"/>
        <v>57254.23</v>
      </c>
      <c r="M358" s="154">
        <f t="shared" si="121"/>
        <v>11450.85</v>
      </c>
      <c r="N358" s="73">
        <f t="shared" si="122"/>
        <v>68705.08</v>
      </c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64"/>
      <c r="Z358" s="9"/>
      <c r="AA358" s="18"/>
      <c r="AB358" s="22"/>
      <c r="AC358" s="22"/>
      <c r="AD358" s="22"/>
    </row>
    <row r="359" spans="1:30" s="20" customFormat="1" ht="63.75" hidden="1" x14ac:dyDescent="0.2">
      <c r="A359" s="335">
        <f>A358+1</f>
        <v>285</v>
      </c>
      <c r="B359" s="348" t="s">
        <v>219</v>
      </c>
      <c r="C359" s="302" t="s">
        <v>110</v>
      </c>
      <c r="D359" s="254" t="s">
        <v>432</v>
      </c>
      <c r="E359" s="254">
        <v>468.96</v>
      </c>
      <c r="F359" s="254">
        <v>3</v>
      </c>
      <c r="G359" s="254">
        <f t="shared" si="118"/>
        <v>1406.88</v>
      </c>
      <c r="H359" s="254"/>
      <c r="I359" s="299">
        <v>283.41000000000003</v>
      </c>
      <c r="J359" s="300">
        <v>1.9442999999999999</v>
      </c>
      <c r="K359" s="299">
        <f t="shared" si="119"/>
        <v>551.03</v>
      </c>
      <c r="L359" s="301">
        <f t="shared" si="120"/>
        <v>775233.09</v>
      </c>
      <c r="M359" s="154">
        <f t="shared" si="121"/>
        <v>155046.62</v>
      </c>
      <c r="N359" s="73">
        <f t="shared" si="122"/>
        <v>930279.71</v>
      </c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64"/>
      <c r="Z359" s="9"/>
      <c r="AA359" s="18"/>
      <c r="AB359" s="22"/>
      <c r="AC359" s="22"/>
      <c r="AD359" s="22"/>
    </row>
    <row r="360" spans="1:30" s="20" customFormat="1" ht="51" hidden="1" x14ac:dyDescent="0.2">
      <c r="A360" s="335">
        <f>A359+1</f>
        <v>286</v>
      </c>
      <c r="B360" s="257" t="s">
        <v>463</v>
      </c>
      <c r="C360" s="344" t="s">
        <v>464</v>
      </c>
      <c r="D360" s="299" t="s">
        <v>118</v>
      </c>
      <c r="E360" s="299">
        <v>1</v>
      </c>
      <c r="F360" s="254">
        <v>1</v>
      </c>
      <c r="G360" s="254">
        <f t="shared" si="118"/>
        <v>1</v>
      </c>
      <c r="H360" s="299"/>
      <c r="I360" s="299">
        <v>38457.4</v>
      </c>
      <c r="J360" s="300">
        <v>1.9442999999999999</v>
      </c>
      <c r="K360" s="299">
        <f t="shared" si="119"/>
        <v>74772.72</v>
      </c>
      <c r="L360" s="301">
        <f t="shared" si="120"/>
        <v>74772.72</v>
      </c>
      <c r="M360" s="154">
        <f t="shared" si="121"/>
        <v>14954.54</v>
      </c>
      <c r="N360" s="73">
        <f t="shared" si="122"/>
        <v>89727.26</v>
      </c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64"/>
      <c r="Z360" s="9"/>
      <c r="AA360" s="18"/>
      <c r="AB360" s="22"/>
      <c r="AC360" s="22"/>
      <c r="AD360" s="22"/>
    </row>
    <row r="361" spans="1:30" s="20" customFormat="1" ht="25.5" hidden="1" x14ac:dyDescent="0.2">
      <c r="A361" s="335"/>
      <c r="B361" s="348"/>
      <c r="C361" s="219" t="s">
        <v>83</v>
      </c>
      <c r="D361" s="254"/>
      <c r="E361" s="254"/>
      <c r="F361" s="254"/>
      <c r="G361" s="254"/>
      <c r="H361" s="254"/>
      <c r="I361" s="299"/>
      <c r="J361" s="300"/>
      <c r="K361" s="299"/>
      <c r="L361" s="301"/>
      <c r="M361" s="154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64"/>
      <c r="Z361" s="9"/>
      <c r="AA361" s="18"/>
      <c r="AB361" s="22"/>
      <c r="AC361" s="22"/>
      <c r="AD361" s="22"/>
    </row>
    <row r="362" spans="1:30" s="20" customFormat="1" ht="76.5" hidden="1" x14ac:dyDescent="0.2">
      <c r="A362" s="335">
        <f>A360+1</f>
        <v>287</v>
      </c>
      <c r="B362" s="348" t="s">
        <v>220</v>
      </c>
      <c r="C362" s="302" t="s">
        <v>84</v>
      </c>
      <c r="D362" s="254" t="s">
        <v>433</v>
      </c>
      <c r="E362" s="254">
        <f>960*0.2</f>
        <v>192</v>
      </c>
      <c r="F362" s="254">
        <v>1</v>
      </c>
      <c r="G362" s="254">
        <f>ROUND(E362*F362,2)</f>
        <v>192</v>
      </c>
      <c r="H362" s="254"/>
      <c r="I362" s="299">
        <v>77.2</v>
      </c>
      <c r="J362" s="300">
        <v>1.9442999999999999</v>
      </c>
      <c r="K362" s="299">
        <f>ROUND(I362*J362,2)</f>
        <v>150.1</v>
      </c>
      <c r="L362" s="301">
        <f>ROUND(K362*G362,2)</f>
        <v>28819.200000000001</v>
      </c>
      <c r="M362" s="154">
        <f t="shared" si="121"/>
        <v>5763.84</v>
      </c>
      <c r="N362" s="73">
        <f t="shared" si="122"/>
        <v>34583.040000000001</v>
      </c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64"/>
      <c r="Z362" s="9"/>
      <c r="AA362" s="18"/>
      <c r="AB362" s="22"/>
      <c r="AC362" s="22"/>
      <c r="AD362" s="22"/>
    </row>
    <row r="363" spans="1:30" s="20" customFormat="1" ht="76.5" hidden="1" x14ac:dyDescent="0.2">
      <c r="A363" s="335">
        <f>A362+1</f>
        <v>288</v>
      </c>
      <c r="B363" s="348" t="s">
        <v>221</v>
      </c>
      <c r="C363" s="302" t="s">
        <v>85</v>
      </c>
      <c r="D363" s="254" t="s">
        <v>437</v>
      </c>
      <c r="E363" s="254">
        <f>93*0.1</f>
        <v>9.3000000000000007</v>
      </c>
      <c r="F363" s="254">
        <v>1</v>
      </c>
      <c r="G363" s="254">
        <f>ROUND(E363*F363,2)</f>
        <v>9.3000000000000007</v>
      </c>
      <c r="H363" s="254"/>
      <c r="I363" s="299">
        <v>1547.81</v>
      </c>
      <c r="J363" s="300">
        <v>1.9442999999999999</v>
      </c>
      <c r="K363" s="299">
        <f>ROUND(I363*J363,2)</f>
        <v>3009.41</v>
      </c>
      <c r="L363" s="301">
        <f>ROUND(K363*G363,2)</f>
        <v>27987.51</v>
      </c>
      <c r="M363" s="154">
        <f t="shared" si="121"/>
        <v>5597.5</v>
      </c>
      <c r="N363" s="73">
        <f t="shared" si="122"/>
        <v>33585.01</v>
      </c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64"/>
      <c r="Z363" s="9"/>
      <c r="AA363" s="18"/>
      <c r="AB363" s="22"/>
      <c r="AC363" s="22"/>
      <c r="AD363" s="22"/>
    </row>
    <row r="364" spans="1:30" s="20" customFormat="1" ht="38.25" hidden="1" x14ac:dyDescent="0.2">
      <c r="A364" s="335"/>
      <c r="B364" s="348"/>
      <c r="C364" s="219" t="s">
        <v>86</v>
      </c>
      <c r="D364" s="254"/>
      <c r="E364" s="254"/>
      <c r="F364" s="254"/>
      <c r="G364" s="254"/>
      <c r="H364" s="254"/>
      <c r="I364" s="299"/>
      <c r="J364" s="300"/>
      <c r="K364" s="299"/>
      <c r="L364" s="301"/>
      <c r="M364" s="154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64"/>
      <c r="Z364" s="9"/>
      <c r="AA364" s="18"/>
      <c r="AB364" s="22"/>
      <c r="AC364" s="22"/>
      <c r="AD364" s="22"/>
    </row>
    <row r="365" spans="1:30" s="20" customFormat="1" ht="76.5" hidden="1" x14ac:dyDescent="0.2">
      <c r="A365" s="335">
        <f>A363+1</f>
        <v>289</v>
      </c>
      <c r="B365" s="348" t="s">
        <v>222</v>
      </c>
      <c r="C365" s="302" t="s">
        <v>87</v>
      </c>
      <c r="D365" s="254" t="s">
        <v>422</v>
      </c>
      <c r="E365" s="254">
        <f>320-280</f>
        <v>40</v>
      </c>
      <c r="F365" s="254">
        <v>1</v>
      </c>
      <c r="G365" s="254">
        <f t="shared" ref="G365:G381" si="123">ROUND(E365*F365,2)</f>
        <v>40</v>
      </c>
      <c r="H365" s="254"/>
      <c r="I365" s="299">
        <v>108.09</v>
      </c>
      <c r="J365" s="300">
        <v>1.9442999999999999</v>
      </c>
      <c r="K365" s="299">
        <f t="shared" ref="K365:K372" si="124">ROUND(I365*J365,2)</f>
        <v>210.16</v>
      </c>
      <c r="L365" s="301">
        <f t="shared" ref="L365:L372" si="125">ROUND(K365*G365,2)</f>
        <v>8406.4</v>
      </c>
      <c r="M365" s="154">
        <f t="shared" ref="M365:M372" si="126">ROUND(L365*0.2,2)</f>
        <v>1681.28</v>
      </c>
      <c r="N365" s="73">
        <f t="shared" ref="N365:N372" si="127">ROUND(L365+M365,2)</f>
        <v>10087.68</v>
      </c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64"/>
      <c r="Z365" s="9"/>
      <c r="AA365" s="18"/>
      <c r="AB365" s="22"/>
      <c r="AC365" s="22"/>
      <c r="AD365" s="22"/>
    </row>
    <row r="366" spans="1:30" s="20" customFormat="1" ht="89.25" hidden="1" x14ac:dyDescent="0.2">
      <c r="A366" s="335">
        <f t="shared" ref="A366:A372" si="128">A365+1</f>
        <v>290</v>
      </c>
      <c r="B366" s="348" t="s">
        <v>223</v>
      </c>
      <c r="C366" s="302" t="s">
        <v>165</v>
      </c>
      <c r="D366" s="254" t="s">
        <v>422</v>
      </c>
      <c r="E366" s="254">
        <v>20</v>
      </c>
      <c r="F366" s="254">
        <v>1</v>
      </c>
      <c r="G366" s="254">
        <f t="shared" si="123"/>
        <v>20</v>
      </c>
      <c r="H366" s="254"/>
      <c r="I366" s="299">
        <v>3286.73</v>
      </c>
      <c r="J366" s="300">
        <v>1.9442999999999999</v>
      </c>
      <c r="K366" s="299">
        <f t="shared" si="124"/>
        <v>6390.39</v>
      </c>
      <c r="L366" s="301">
        <f t="shared" si="125"/>
        <v>127807.8</v>
      </c>
      <c r="M366" s="154">
        <f t="shared" si="126"/>
        <v>25561.56</v>
      </c>
      <c r="N366" s="73">
        <f t="shared" si="127"/>
        <v>153369.35999999999</v>
      </c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64"/>
      <c r="Z366" s="9"/>
      <c r="AA366" s="79"/>
      <c r="AB366" s="22"/>
      <c r="AC366" s="22"/>
      <c r="AD366" s="22"/>
    </row>
    <row r="367" spans="1:30" s="20" customFormat="1" ht="76.5" hidden="1" x14ac:dyDescent="0.2">
      <c r="A367" s="335">
        <f t="shared" si="128"/>
        <v>291</v>
      </c>
      <c r="B367" s="257" t="s">
        <v>502</v>
      </c>
      <c r="C367" s="257" t="s">
        <v>506</v>
      </c>
      <c r="D367" s="254" t="s">
        <v>422</v>
      </c>
      <c r="E367" s="254">
        <v>10</v>
      </c>
      <c r="F367" s="254">
        <v>1</v>
      </c>
      <c r="G367" s="254">
        <f t="shared" si="123"/>
        <v>10</v>
      </c>
      <c r="H367" s="254"/>
      <c r="I367" s="299">
        <v>6596.71</v>
      </c>
      <c r="J367" s="300">
        <v>1.9442999999999999</v>
      </c>
      <c r="K367" s="299">
        <f t="shared" si="124"/>
        <v>12825.98</v>
      </c>
      <c r="L367" s="301">
        <f t="shared" si="125"/>
        <v>128259.8</v>
      </c>
      <c r="M367" s="154">
        <f t="shared" si="126"/>
        <v>25651.96</v>
      </c>
      <c r="N367" s="73">
        <f t="shared" si="127"/>
        <v>153911.76</v>
      </c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64"/>
      <c r="Z367" s="9"/>
      <c r="AA367" s="18"/>
      <c r="AB367" s="22"/>
      <c r="AC367" s="22"/>
      <c r="AD367" s="22"/>
    </row>
    <row r="368" spans="1:30" s="20" customFormat="1" ht="76.5" hidden="1" x14ac:dyDescent="0.2">
      <c r="A368" s="335">
        <f t="shared" si="128"/>
        <v>292</v>
      </c>
      <c r="B368" s="348" t="s">
        <v>126</v>
      </c>
      <c r="C368" s="302" t="s">
        <v>140</v>
      </c>
      <c r="D368" s="254" t="s">
        <v>422</v>
      </c>
      <c r="E368" s="254">
        <v>11</v>
      </c>
      <c r="F368" s="254">
        <v>1</v>
      </c>
      <c r="G368" s="254">
        <f t="shared" si="123"/>
        <v>11</v>
      </c>
      <c r="H368" s="254"/>
      <c r="I368" s="299">
        <v>2893.7</v>
      </c>
      <c r="J368" s="300">
        <v>1.9442999999999999</v>
      </c>
      <c r="K368" s="299">
        <f t="shared" si="124"/>
        <v>5626.22</v>
      </c>
      <c r="L368" s="301">
        <f t="shared" si="125"/>
        <v>61888.42</v>
      </c>
      <c r="M368" s="154">
        <f t="shared" si="126"/>
        <v>12377.68</v>
      </c>
      <c r="N368" s="73">
        <f t="shared" si="127"/>
        <v>74266.100000000006</v>
      </c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64"/>
      <c r="Z368" s="9"/>
      <c r="AA368" s="18"/>
      <c r="AB368" s="22"/>
      <c r="AC368" s="22"/>
      <c r="AD368" s="22"/>
    </row>
    <row r="369" spans="1:30" s="20" customFormat="1" ht="76.5" hidden="1" x14ac:dyDescent="0.2">
      <c r="A369" s="335">
        <f t="shared" si="128"/>
        <v>293</v>
      </c>
      <c r="B369" s="348" t="s">
        <v>520</v>
      </c>
      <c r="C369" s="302" t="s">
        <v>137</v>
      </c>
      <c r="D369" s="254" t="s">
        <v>422</v>
      </c>
      <c r="E369" s="254">
        <f>192/2</f>
        <v>96</v>
      </c>
      <c r="F369" s="254">
        <v>1</v>
      </c>
      <c r="G369" s="254">
        <f t="shared" si="123"/>
        <v>96</v>
      </c>
      <c r="H369" s="254"/>
      <c r="I369" s="299">
        <v>167.36</v>
      </c>
      <c r="J369" s="300">
        <v>1.9442999999999999</v>
      </c>
      <c r="K369" s="299">
        <f t="shared" si="124"/>
        <v>325.39999999999998</v>
      </c>
      <c r="L369" s="301">
        <f t="shared" si="125"/>
        <v>31238.400000000001</v>
      </c>
      <c r="M369" s="154">
        <f t="shared" si="126"/>
        <v>6247.68</v>
      </c>
      <c r="N369" s="73">
        <f t="shared" si="127"/>
        <v>37486.080000000002</v>
      </c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64"/>
      <c r="Z369" s="9"/>
      <c r="AA369" s="18"/>
      <c r="AB369" s="22"/>
      <c r="AC369" s="22"/>
      <c r="AD369" s="22"/>
    </row>
    <row r="370" spans="1:30" s="20" customFormat="1" ht="89.25" hidden="1" x14ac:dyDescent="0.2">
      <c r="A370" s="335">
        <f t="shared" si="128"/>
        <v>294</v>
      </c>
      <c r="B370" s="348" t="s">
        <v>224</v>
      </c>
      <c r="C370" s="302" t="s">
        <v>112</v>
      </c>
      <c r="D370" s="254" t="s">
        <v>422</v>
      </c>
      <c r="E370" s="254">
        <v>100</v>
      </c>
      <c r="F370" s="254">
        <v>1</v>
      </c>
      <c r="G370" s="254">
        <f t="shared" si="123"/>
        <v>100</v>
      </c>
      <c r="H370" s="254"/>
      <c r="I370" s="299">
        <v>643.77</v>
      </c>
      <c r="J370" s="300">
        <v>1.9442999999999999</v>
      </c>
      <c r="K370" s="299">
        <f t="shared" si="124"/>
        <v>1251.68</v>
      </c>
      <c r="L370" s="301">
        <f t="shared" si="125"/>
        <v>125168</v>
      </c>
      <c r="M370" s="154">
        <f t="shared" si="126"/>
        <v>25033.599999999999</v>
      </c>
      <c r="N370" s="73">
        <f t="shared" si="127"/>
        <v>150201.60000000001</v>
      </c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64"/>
      <c r="Z370" s="9"/>
      <c r="AA370" s="18"/>
      <c r="AB370" s="22"/>
      <c r="AC370" s="22"/>
      <c r="AD370" s="22"/>
    </row>
    <row r="371" spans="1:30" s="20" customFormat="1" ht="76.5" hidden="1" x14ac:dyDescent="0.2">
      <c r="A371" s="335">
        <f t="shared" si="128"/>
        <v>295</v>
      </c>
      <c r="B371" s="348" t="s">
        <v>225</v>
      </c>
      <c r="C371" s="302" t="s">
        <v>104</v>
      </c>
      <c r="D371" s="254" t="s">
        <v>411</v>
      </c>
      <c r="E371" s="254">
        <f>1.95/2</f>
        <v>0.97499999999999998</v>
      </c>
      <c r="F371" s="254">
        <v>1</v>
      </c>
      <c r="G371" s="254">
        <f t="shared" si="123"/>
        <v>0.98</v>
      </c>
      <c r="H371" s="254"/>
      <c r="I371" s="299">
        <v>5333.45</v>
      </c>
      <c r="J371" s="300">
        <v>1.9442999999999999</v>
      </c>
      <c r="K371" s="299">
        <f t="shared" si="124"/>
        <v>10369.83</v>
      </c>
      <c r="L371" s="301">
        <f t="shared" si="125"/>
        <v>10162.43</v>
      </c>
      <c r="M371" s="154">
        <f t="shared" si="126"/>
        <v>2032.49</v>
      </c>
      <c r="N371" s="73">
        <f t="shared" si="127"/>
        <v>12194.92</v>
      </c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64"/>
      <c r="Z371" s="9"/>
      <c r="AA371" s="18"/>
      <c r="AB371" s="22"/>
      <c r="AC371" s="22"/>
      <c r="AD371" s="22"/>
    </row>
    <row r="372" spans="1:30" s="20" customFormat="1" ht="89.25" hidden="1" x14ac:dyDescent="0.2">
      <c r="A372" s="335">
        <f t="shared" si="128"/>
        <v>296</v>
      </c>
      <c r="B372" s="348" t="s">
        <v>226</v>
      </c>
      <c r="C372" s="302" t="s">
        <v>202</v>
      </c>
      <c r="D372" s="254" t="s">
        <v>446</v>
      </c>
      <c r="E372" s="254">
        <f>1770/2</f>
        <v>885</v>
      </c>
      <c r="F372" s="254">
        <v>1</v>
      </c>
      <c r="G372" s="254">
        <f t="shared" si="123"/>
        <v>885</v>
      </c>
      <c r="H372" s="254"/>
      <c r="I372" s="299">
        <v>38.590000000000003</v>
      </c>
      <c r="J372" s="300">
        <v>1.9442999999999999</v>
      </c>
      <c r="K372" s="299">
        <f t="shared" si="124"/>
        <v>75.03</v>
      </c>
      <c r="L372" s="301">
        <f t="shared" si="125"/>
        <v>66401.55</v>
      </c>
      <c r="M372" s="154">
        <f t="shared" si="126"/>
        <v>13280.31</v>
      </c>
      <c r="N372" s="73">
        <f t="shared" si="127"/>
        <v>79681.86</v>
      </c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64"/>
      <c r="Z372" s="9"/>
      <c r="AA372" s="18"/>
      <c r="AB372" s="22">
        <f>15*13/100</f>
        <v>1.95</v>
      </c>
      <c r="AC372" s="22" t="s">
        <v>323</v>
      </c>
      <c r="AD372" s="22"/>
    </row>
    <row r="373" spans="1:30" s="20" customFormat="1" ht="51" hidden="1" x14ac:dyDescent="0.2">
      <c r="A373" s="335">
        <f t="shared" ref="A373:A381" si="129">A372+1</f>
        <v>297</v>
      </c>
      <c r="B373" s="257" t="s">
        <v>466</v>
      </c>
      <c r="C373" s="257" t="s">
        <v>467</v>
      </c>
      <c r="D373" s="254" t="s">
        <v>422</v>
      </c>
      <c r="E373" s="254">
        <v>347</v>
      </c>
      <c r="F373" s="254">
        <v>1</v>
      </c>
      <c r="G373" s="254">
        <f t="shared" si="123"/>
        <v>347</v>
      </c>
      <c r="H373" s="254"/>
      <c r="I373" s="299">
        <v>98.67</v>
      </c>
      <c r="J373" s="300">
        <v>1.9442999999999999</v>
      </c>
      <c r="K373" s="299">
        <f t="shared" ref="K373:K381" si="130">ROUND(I373*J373,2)</f>
        <v>191.84</v>
      </c>
      <c r="L373" s="301">
        <f>ROUND(K373*G373,2)</f>
        <v>66568.479999999996</v>
      </c>
      <c r="M373" s="154">
        <f t="shared" ref="M373:M381" si="131">ROUND(L373*0.2,2)</f>
        <v>13313.7</v>
      </c>
      <c r="N373" s="73">
        <f t="shared" ref="N373:N380" si="132">ROUND(L373+M373,2)</f>
        <v>79882.179999999993</v>
      </c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64"/>
      <c r="Z373" s="9"/>
      <c r="AA373" s="18"/>
      <c r="AB373" s="26">
        <f>1740/2/100</f>
        <v>8.6999999999999993</v>
      </c>
      <c r="AC373" s="26" t="s">
        <v>324</v>
      </c>
      <c r="AD373" s="16" t="s">
        <v>342</v>
      </c>
    </row>
    <row r="374" spans="1:30" s="20" customFormat="1" ht="51" hidden="1" x14ac:dyDescent="0.2">
      <c r="A374" s="335">
        <f t="shared" si="129"/>
        <v>298</v>
      </c>
      <c r="B374" s="257" t="s">
        <v>468</v>
      </c>
      <c r="C374" s="257" t="s">
        <v>469</v>
      </c>
      <c r="D374" s="254" t="s">
        <v>77</v>
      </c>
      <c r="E374" s="254">
        <f>13*50/100</f>
        <v>6.5</v>
      </c>
      <c r="F374" s="254">
        <v>2</v>
      </c>
      <c r="G374" s="254">
        <f t="shared" si="123"/>
        <v>13</v>
      </c>
      <c r="H374" s="254"/>
      <c r="I374" s="299">
        <v>531.04</v>
      </c>
      <c r="J374" s="300">
        <v>1.9442999999999999</v>
      </c>
      <c r="K374" s="299">
        <f t="shared" si="130"/>
        <v>1032.5</v>
      </c>
      <c r="L374" s="301">
        <f t="shared" ref="L374:L381" si="133">ROUND(K374*G374,2)</f>
        <v>13422.5</v>
      </c>
      <c r="M374" s="154">
        <f t="shared" si="131"/>
        <v>2684.5</v>
      </c>
      <c r="N374" s="73">
        <f t="shared" si="132"/>
        <v>16107</v>
      </c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64"/>
      <c r="Z374" s="9"/>
      <c r="AA374" s="18"/>
      <c r="AB374" s="34"/>
      <c r="AC374" s="34"/>
      <c r="AD374" s="137"/>
    </row>
    <row r="375" spans="1:30" s="20" customFormat="1" ht="51" hidden="1" x14ac:dyDescent="0.2">
      <c r="A375" s="335">
        <f t="shared" si="129"/>
        <v>299</v>
      </c>
      <c r="B375" s="257" t="s">
        <v>470</v>
      </c>
      <c r="C375" s="257" t="s">
        <v>471</v>
      </c>
      <c r="D375" s="254" t="s">
        <v>433</v>
      </c>
      <c r="E375" s="254">
        <v>1740</v>
      </c>
      <c r="F375" s="254">
        <v>2</v>
      </c>
      <c r="G375" s="254">
        <f t="shared" si="123"/>
        <v>3480</v>
      </c>
      <c r="H375" s="254"/>
      <c r="I375" s="299">
        <v>2.89</v>
      </c>
      <c r="J375" s="300">
        <v>1.9442999999999999</v>
      </c>
      <c r="K375" s="299">
        <f t="shared" si="130"/>
        <v>5.62</v>
      </c>
      <c r="L375" s="301">
        <f t="shared" si="133"/>
        <v>19557.599999999999</v>
      </c>
      <c r="M375" s="154">
        <f t="shared" si="131"/>
        <v>3911.52</v>
      </c>
      <c r="N375" s="73">
        <f t="shared" si="132"/>
        <v>23469.119999999999</v>
      </c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64"/>
      <c r="Z375" s="9"/>
      <c r="AA375" s="18"/>
      <c r="AB375" s="34"/>
      <c r="AC375" s="34"/>
      <c r="AD375" s="137"/>
    </row>
    <row r="376" spans="1:30" s="20" customFormat="1" ht="51" hidden="1" x14ac:dyDescent="0.2">
      <c r="A376" s="335">
        <f t="shared" si="129"/>
        <v>300</v>
      </c>
      <c r="B376" s="257" t="s">
        <v>472</v>
      </c>
      <c r="C376" s="257" t="s">
        <v>473</v>
      </c>
      <c r="D376" s="254" t="s">
        <v>422</v>
      </c>
      <c r="E376" s="254">
        <v>100</v>
      </c>
      <c r="F376" s="254">
        <v>1</v>
      </c>
      <c r="G376" s="254">
        <f t="shared" si="123"/>
        <v>100</v>
      </c>
      <c r="H376" s="254"/>
      <c r="I376" s="299">
        <v>101.02</v>
      </c>
      <c r="J376" s="300">
        <v>1.9442999999999999</v>
      </c>
      <c r="K376" s="299">
        <f t="shared" si="130"/>
        <v>196.41</v>
      </c>
      <c r="L376" s="301">
        <f t="shared" si="133"/>
        <v>19641</v>
      </c>
      <c r="M376" s="154">
        <f t="shared" si="131"/>
        <v>3928.2</v>
      </c>
      <c r="N376" s="73">
        <f t="shared" si="132"/>
        <v>23569.200000000001</v>
      </c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64"/>
      <c r="Z376" s="9"/>
      <c r="AA376" s="18"/>
      <c r="AB376" s="34"/>
      <c r="AC376" s="34"/>
      <c r="AD376" s="137"/>
    </row>
    <row r="377" spans="1:30" s="20" customFormat="1" ht="51" hidden="1" x14ac:dyDescent="0.2">
      <c r="A377" s="335">
        <f t="shared" si="129"/>
        <v>301</v>
      </c>
      <c r="B377" s="257" t="s">
        <v>474</v>
      </c>
      <c r="C377" s="321" t="s">
        <v>475</v>
      </c>
      <c r="D377" s="254" t="s">
        <v>433</v>
      </c>
      <c r="E377" s="254">
        <v>1740</v>
      </c>
      <c r="F377" s="254">
        <v>3</v>
      </c>
      <c r="G377" s="254">
        <f t="shared" si="123"/>
        <v>5220</v>
      </c>
      <c r="H377" s="254"/>
      <c r="I377" s="299">
        <v>0.57999999999999996</v>
      </c>
      <c r="J377" s="300">
        <v>1.9442999999999999</v>
      </c>
      <c r="K377" s="299">
        <f t="shared" si="130"/>
        <v>1.1299999999999999</v>
      </c>
      <c r="L377" s="301">
        <f t="shared" si="133"/>
        <v>5898.6</v>
      </c>
      <c r="M377" s="154">
        <f t="shared" si="131"/>
        <v>1179.72</v>
      </c>
      <c r="N377" s="73">
        <f t="shared" si="132"/>
        <v>7078.32</v>
      </c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64"/>
      <c r="Z377" s="9"/>
      <c r="AA377" s="18"/>
      <c r="AB377" s="34"/>
      <c r="AC377" s="34"/>
      <c r="AD377" s="137"/>
    </row>
    <row r="378" spans="1:30" s="20" customFormat="1" ht="51" hidden="1" x14ac:dyDescent="0.2">
      <c r="A378" s="335">
        <f t="shared" si="129"/>
        <v>302</v>
      </c>
      <c r="B378" s="257" t="s">
        <v>476</v>
      </c>
      <c r="C378" s="321" t="s">
        <v>477</v>
      </c>
      <c r="D378" s="254" t="s">
        <v>433</v>
      </c>
      <c r="E378" s="254">
        <v>50</v>
      </c>
      <c r="F378" s="254">
        <v>1</v>
      </c>
      <c r="G378" s="254">
        <f t="shared" si="123"/>
        <v>50</v>
      </c>
      <c r="H378" s="254"/>
      <c r="I378" s="299">
        <v>382.85</v>
      </c>
      <c r="J378" s="300">
        <v>1.9442999999999999</v>
      </c>
      <c r="K378" s="299">
        <f t="shared" si="130"/>
        <v>744.38</v>
      </c>
      <c r="L378" s="301">
        <f t="shared" si="133"/>
        <v>37219</v>
      </c>
      <c r="M378" s="154">
        <f t="shared" si="131"/>
        <v>7443.8</v>
      </c>
      <c r="N378" s="73">
        <f t="shared" si="132"/>
        <v>44662.8</v>
      </c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64"/>
      <c r="Z378" s="9"/>
      <c r="AA378" s="18"/>
      <c r="AB378" s="34"/>
      <c r="AC378" s="34"/>
      <c r="AD378" s="137"/>
    </row>
    <row r="379" spans="1:30" s="20" customFormat="1" ht="51" hidden="1" x14ac:dyDescent="0.2">
      <c r="A379" s="335">
        <f t="shared" si="129"/>
        <v>303</v>
      </c>
      <c r="B379" s="257" t="s">
        <v>478</v>
      </c>
      <c r="C379" s="321" t="s">
        <v>479</v>
      </c>
      <c r="D379" s="254" t="s">
        <v>422</v>
      </c>
      <c r="E379" s="254">
        <v>100</v>
      </c>
      <c r="F379" s="254">
        <v>1</v>
      </c>
      <c r="G379" s="254">
        <f t="shared" si="123"/>
        <v>100</v>
      </c>
      <c r="H379" s="254"/>
      <c r="I379" s="299">
        <v>209.02</v>
      </c>
      <c r="J379" s="300">
        <v>1.9442999999999999</v>
      </c>
      <c r="K379" s="299">
        <f t="shared" si="130"/>
        <v>406.4</v>
      </c>
      <c r="L379" s="301">
        <f t="shared" si="133"/>
        <v>40640</v>
      </c>
      <c r="M379" s="154">
        <f t="shared" si="131"/>
        <v>8128</v>
      </c>
      <c r="N379" s="73">
        <f t="shared" si="132"/>
        <v>48768</v>
      </c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64"/>
      <c r="Z379" s="9"/>
      <c r="AA379" s="18"/>
      <c r="AB379" s="34"/>
      <c r="AC379" s="34"/>
      <c r="AD379" s="137"/>
    </row>
    <row r="380" spans="1:30" s="20" customFormat="1" ht="63.75" hidden="1" x14ac:dyDescent="0.2">
      <c r="A380" s="335">
        <f t="shared" si="129"/>
        <v>304</v>
      </c>
      <c r="B380" s="257" t="s">
        <v>480</v>
      </c>
      <c r="C380" s="321" t="s">
        <v>509</v>
      </c>
      <c r="D380" s="254" t="s">
        <v>507</v>
      </c>
      <c r="E380" s="254">
        <v>4</v>
      </c>
      <c r="F380" s="254">
        <v>3</v>
      </c>
      <c r="G380" s="254">
        <f t="shared" si="123"/>
        <v>12</v>
      </c>
      <c r="H380" s="254"/>
      <c r="I380" s="299">
        <v>4248.72</v>
      </c>
      <c r="J380" s="300">
        <v>1.9442999999999999</v>
      </c>
      <c r="K380" s="299">
        <f t="shared" si="130"/>
        <v>8260.7900000000009</v>
      </c>
      <c r="L380" s="301">
        <f t="shared" si="133"/>
        <v>99129.48</v>
      </c>
      <c r="M380" s="154">
        <f t="shared" si="131"/>
        <v>19825.900000000001</v>
      </c>
      <c r="N380" s="73">
        <f t="shared" si="132"/>
        <v>118955.38</v>
      </c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64"/>
      <c r="Z380" s="9"/>
      <c r="AA380" s="18"/>
      <c r="AB380" s="34"/>
      <c r="AC380" s="34"/>
      <c r="AD380" s="137"/>
    </row>
    <row r="381" spans="1:30" s="20" customFormat="1" ht="38.25" hidden="1" x14ac:dyDescent="0.2">
      <c r="A381" s="335">
        <f t="shared" si="129"/>
        <v>305</v>
      </c>
      <c r="B381" s="222" t="s">
        <v>480</v>
      </c>
      <c r="C381" s="257" t="s">
        <v>518</v>
      </c>
      <c r="D381" s="314" t="s">
        <v>508</v>
      </c>
      <c r="E381" s="297">
        <v>1</v>
      </c>
      <c r="F381" s="297">
        <v>92</v>
      </c>
      <c r="G381" s="297">
        <f t="shared" si="123"/>
        <v>92</v>
      </c>
      <c r="H381" s="254"/>
      <c r="I381" s="299">
        <v>535.76</v>
      </c>
      <c r="J381" s="308">
        <v>1</v>
      </c>
      <c r="K381" s="299">
        <f t="shared" si="130"/>
        <v>535.76</v>
      </c>
      <c r="L381" s="301">
        <f t="shared" si="133"/>
        <v>49289.919999999998</v>
      </c>
      <c r="M381" s="154">
        <f t="shared" si="131"/>
        <v>9857.98</v>
      </c>
      <c r="N381" s="73">
        <f>ROUND(M381+L381,2)</f>
        <v>59147.9</v>
      </c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64"/>
      <c r="Z381" s="9"/>
      <c r="AA381" s="18"/>
      <c r="AB381" s="34"/>
      <c r="AC381" s="34"/>
      <c r="AD381" s="137"/>
    </row>
    <row r="382" spans="1:30" s="20" customFormat="1" ht="12.75" hidden="1" x14ac:dyDescent="0.2">
      <c r="A382" s="335"/>
      <c r="B382" s="348"/>
      <c r="C382" s="219" t="s">
        <v>88</v>
      </c>
      <c r="D382" s="254"/>
      <c r="E382" s="254"/>
      <c r="F382" s="254"/>
      <c r="G382" s="254"/>
      <c r="H382" s="254"/>
      <c r="I382" s="299"/>
      <c r="J382" s="300"/>
      <c r="K382" s="299"/>
      <c r="L382" s="301"/>
      <c r="M382" s="154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64"/>
      <c r="Z382" s="9"/>
      <c r="AA382" s="18"/>
      <c r="AB382" s="34"/>
      <c r="AC382" s="34"/>
      <c r="AD382" s="137"/>
    </row>
    <row r="383" spans="1:30" s="20" customFormat="1" ht="76.5" hidden="1" x14ac:dyDescent="0.2">
      <c r="A383" s="335">
        <f>A381+1</f>
        <v>306</v>
      </c>
      <c r="B383" s="348" t="s">
        <v>227</v>
      </c>
      <c r="C383" s="302" t="s">
        <v>370</v>
      </c>
      <c r="D383" s="254" t="s">
        <v>422</v>
      </c>
      <c r="E383" s="254">
        <v>633</v>
      </c>
      <c r="F383" s="254">
        <v>3</v>
      </c>
      <c r="G383" s="254">
        <f>ROUND(E383*F383,2)</f>
        <v>1899</v>
      </c>
      <c r="H383" s="254"/>
      <c r="I383" s="299">
        <v>12.79</v>
      </c>
      <c r="J383" s="300">
        <v>1.9442999999999999</v>
      </c>
      <c r="K383" s="299">
        <f>ROUND(I383*J383,2)</f>
        <v>24.87</v>
      </c>
      <c r="L383" s="301">
        <f>ROUND(K383*G383,2)</f>
        <v>47228.13</v>
      </c>
      <c r="M383" s="154">
        <f>ROUND(L383*0.2,2)</f>
        <v>9445.6299999999992</v>
      </c>
      <c r="N383" s="73">
        <f>ROUND(L383+M383,2)</f>
        <v>56673.760000000002</v>
      </c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64"/>
      <c r="Z383" s="9"/>
      <c r="AA383" s="18"/>
      <c r="AB383" s="22"/>
      <c r="AC383" s="22"/>
      <c r="AD383" s="22"/>
    </row>
    <row r="384" spans="1:30" s="20" customFormat="1" ht="84.75" hidden="1" customHeight="1" x14ac:dyDescent="0.2">
      <c r="A384" s="335"/>
      <c r="B384" s="257"/>
      <c r="C384" s="219" t="s">
        <v>20</v>
      </c>
      <c r="D384" s="254"/>
      <c r="E384" s="254"/>
      <c r="F384" s="254"/>
      <c r="G384" s="254"/>
      <c r="H384" s="254"/>
      <c r="I384" s="299"/>
      <c r="J384" s="300"/>
      <c r="K384" s="299"/>
      <c r="L384" s="301"/>
      <c r="M384" s="154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64"/>
      <c r="Z384" s="9"/>
      <c r="AA384" s="18"/>
      <c r="AB384" s="22"/>
      <c r="AC384" s="22"/>
      <c r="AD384" s="22"/>
    </row>
    <row r="385" spans="1:30" s="20" customFormat="1" ht="76.5" hidden="1" x14ac:dyDescent="0.2">
      <c r="A385" s="335">
        <f>A383+1</f>
        <v>307</v>
      </c>
      <c r="B385" s="257" t="s">
        <v>497</v>
      </c>
      <c r="C385" s="302" t="s">
        <v>498</v>
      </c>
      <c r="D385" s="254" t="s">
        <v>411</v>
      </c>
      <c r="E385" s="254">
        <v>27</v>
      </c>
      <c r="F385" s="254">
        <v>1</v>
      </c>
      <c r="G385" s="254">
        <f>ROUND(E385*F385,2)</f>
        <v>27</v>
      </c>
      <c r="H385" s="254"/>
      <c r="I385" s="299">
        <v>44.32</v>
      </c>
      <c r="J385" s="300">
        <v>1.9442999999999999</v>
      </c>
      <c r="K385" s="299">
        <f>ROUND(I385*J385,2)</f>
        <v>86.17</v>
      </c>
      <c r="L385" s="301">
        <f>ROUND(K385*G385,2)</f>
        <v>2326.59</v>
      </c>
      <c r="M385" s="154">
        <f>ROUND(L385*0.2,2)</f>
        <v>465.32</v>
      </c>
      <c r="N385" s="73">
        <f>ROUND(L385+M385,2)</f>
        <v>2791.91</v>
      </c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64"/>
      <c r="Z385" s="9"/>
      <c r="AA385" s="18"/>
      <c r="AB385" s="22"/>
      <c r="AC385" s="22"/>
      <c r="AD385" s="22"/>
    </row>
    <row r="386" spans="1:30" s="20" customFormat="1" ht="77.25" hidden="1" customHeight="1" x14ac:dyDescent="0.2">
      <c r="A386" s="335">
        <f>A385+1</f>
        <v>308</v>
      </c>
      <c r="B386" s="257" t="s">
        <v>499</v>
      </c>
      <c r="C386" s="302" t="s">
        <v>500</v>
      </c>
      <c r="D386" s="254" t="s">
        <v>513</v>
      </c>
      <c r="E386" s="254">
        <v>2.7</v>
      </c>
      <c r="F386" s="254">
        <v>1</v>
      </c>
      <c r="G386" s="254">
        <f>ROUND(E386*F386,2)</f>
        <v>2.7</v>
      </c>
      <c r="H386" s="254"/>
      <c r="I386" s="299">
        <v>4728.2</v>
      </c>
      <c r="J386" s="300">
        <v>1.9442999999999999</v>
      </c>
      <c r="K386" s="299">
        <f>ROUND(I386*J386,2)</f>
        <v>9193.0400000000009</v>
      </c>
      <c r="L386" s="301">
        <f>ROUND(K386*G386,2)</f>
        <v>24821.21</v>
      </c>
      <c r="M386" s="154">
        <f>ROUND(L386*0.2,2)</f>
        <v>4964.24</v>
      </c>
      <c r="N386" s="73">
        <f>ROUND(L386+M386,2)</f>
        <v>29785.45</v>
      </c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64"/>
      <c r="Z386" s="9"/>
      <c r="AA386" s="18"/>
      <c r="AB386" s="22"/>
      <c r="AC386" s="22"/>
      <c r="AD386" s="22"/>
    </row>
    <row r="387" spans="1:30" s="20" customFormat="1" ht="51" hidden="1" x14ac:dyDescent="0.2">
      <c r="A387" s="335">
        <f>A386+1</f>
        <v>309</v>
      </c>
      <c r="B387" s="257" t="s">
        <v>492</v>
      </c>
      <c r="C387" s="302" t="s">
        <v>501</v>
      </c>
      <c r="D387" s="254" t="s">
        <v>433</v>
      </c>
      <c r="E387" s="254">
        <v>810</v>
      </c>
      <c r="F387" s="254">
        <v>1</v>
      </c>
      <c r="G387" s="254">
        <f>ROUND(E387*F387,2)</f>
        <v>810</v>
      </c>
      <c r="H387" s="254"/>
      <c r="I387" s="299">
        <v>83.24</v>
      </c>
      <c r="J387" s="300">
        <v>1.9442999999999999</v>
      </c>
      <c r="K387" s="299">
        <f>ROUND(I387*J387,2)</f>
        <v>161.84</v>
      </c>
      <c r="L387" s="301">
        <f>ROUND(K387*G387,2)</f>
        <v>131090.4</v>
      </c>
      <c r="M387" s="154">
        <f>ROUND(L387*0.2,2)</f>
        <v>26218.080000000002</v>
      </c>
      <c r="N387" s="73">
        <f>ROUND(L387+M387,2)</f>
        <v>157308.48000000001</v>
      </c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64"/>
      <c r="Z387" s="9"/>
      <c r="AA387" s="18"/>
      <c r="AB387" s="22"/>
      <c r="AC387" s="22"/>
      <c r="AD387" s="22"/>
    </row>
    <row r="388" spans="1:30" s="20" customFormat="1" ht="25.5" hidden="1" x14ac:dyDescent="0.2">
      <c r="A388" s="335"/>
      <c r="B388" s="257"/>
      <c r="C388" s="219" t="s">
        <v>21</v>
      </c>
      <c r="D388" s="356"/>
      <c r="E388" s="320"/>
      <c r="F388" s="294"/>
      <c r="G388" s="250"/>
      <c r="H388" s="254"/>
      <c r="I388" s="299"/>
      <c r="J388" s="300"/>
      <c r="K388" s="299"/>
      <c r="L388" s="301"/>
      <c r="M388" s="154"/>
      <c r="N388" s="73"/>
      <c r="O388" s="524">
        <v>5341458.28</v>
      </c>
      <c r="P388" s="73"/>
      <c r="Q388" s="73"/>
      <c r="R388" s="73"/>
      <c r="S388" s="73"/>
      <c r="T388" s="73"/>
      <c r="U388" s="73"/>
      <c r="V388" s="73"/>
      <c r="W388" s="73"/>
      <c r="X388" s="73"/>
      <c r="Y388" s="186">
        <f>SUM(N389:N415)</f>
        <v>5781728.6199999992</v>
      </c>
      <c r="Z388" s="9"/>
      <c r="AA388" s="18"/>
      <c r="AB388" s="22"/>
      <c r="AC388" s="22"/>
      <c r="AD388" s="22"/>
    </row>
    <row r="389" spans="1:30" s="20" customFormat="1" ht="54" hidden="1" customHeight="1" x14ac:dyDescent="0.2">
      <c r="A389" s="335">
        <f>A387+1</f>
        <v>310</v>
      </c>
      <c r="B389" s="257" t="s">
        <v>228</v>
      </c>
      <c r="C389" s="302" t="s">
        <v>337</v>
      </c>
      <c r="D389" s="254" t="s">
        <v>354</v>
      </c>
      <c r="E389" s="254">
        <v>51.85</v>
      </c>
      <c r="F389" s="254">
        <v>6</v>
      </c>
      <c r="G389" s="254">
        <f t="shared" ref="G389:G400" si="134">ROUND(E389*F389,2)</f>
        <v>311.10000000000002</v>
      </c>
      <c r="H389" s="254"/>
      <c r="I389" s="299">
        <v>35.01</v>
      </c>
      <c r="J389" s="300">
        <v>1.9442999999999999</v>
      </c>
      <c r="K389" s="299">
        <f t="shared" ref="K389:K409" si="135">ROUND(I389*J389,2)</f>
        <v>68.069999999999993</v>
      </c>
      <c r="L389" s="301">
        <f>ROUND(K389*G389,2)</f>
        <v>21176.58</v>
      </c>
      <c r="M389" s="154">
        <f>ROUND(L389*0.2,2)</f>
        <v>4235.32</v>
      </c>
      <c r="N389" s="73">
        <f>ROUND(L389+M389,2)</f>
        <v>25411.9</v>
      </c>
      <c r="O389" s="73">
        <f>O388+Q341+R341</f>
        <v>5649115.3080000002</v>
      </c>
      <c r="P389" s="73"/>
      <c r="Q389" s="73"/>
      <c r="R389" s="73"/>
      <c r="S389" s="73"/>
      <c r="T389" s="73"/>
      <c r="U389" s="73"/>
      <c r="V389" s="73"/>
      <c r="W389" s="73"/>
      <c r="X389" s="73"/>
      <c r="Y389" s="64"/>
      <c r="Z389" s="9"/>
      <c r="AA389" s="18"/>
      <c r="AB389" s="22"/>
      <c r="AC389" s="22"/>
      <c r="AD389" s="22"/>
    </row>
    <row r="390" spans="1:30" s="20" customFormat="1" ht="76.5" hidden="1" x14ac:dyDescent="0.2">
      <c r="A390" s="335">
        <f t="shared" ref="A390:A410" si="136">A389+1</f>
        <v>311</v>
      </c>
      <c r="B390" s="257" t="s">
        <v>127</v>
      </c>
      <c r="C390" s="302" t="s">
        <v>113</v>
      </c>
      <c r="D390" s="254" t="s">
        <v>354</v>
      </c>
      <c r="E390" s="254">
        <v>369.4</v>
      </c>
      <c r="F390" s="254">
        <v>6</v>
      </c>
      <c r="G390" s="254">
        <f t="shared" si="134"/>
        <v>2216.4</v>
      </c>
      <c r="H390" s="254"/>
      <c r="I390" s="299">
        <v>101.44</v>
      </c>
      <c r="J390" s="300">
        <v>1.9442999999999999</v>
      </c>
      <c r="K390" s="299">
        <f t="shared" si="135"/>
        <v>197.23</v>
      </c>
      <c r="L390" s="301">
        <f>ROUND(K390*G390,2)</f>
        <v>437140.57</v>
      </c>
      <c r="M390" s="154">
        <f>ROUND(L390*0.2,2)</f>
        <v>87428.11</v>
      </c>
      <c r="N390" s="73">
        <f>ROUND(L390+M390,2)</f>
        <v>524568.68000000005</v>
      </c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64"/>
      <c r="Z390" s="9"/>
      <c r="AA390" s="18"/>
      <c r="AB390" s="22"/>
      <c r="AC390" s="22"/>
      <c r="AD390" s="22"/>
    </row>
    <row r="391" spans="1:30" s="20" customFormat="1" ht="76.5" hidden="1" x14ac:dyDescent="0.2">
      <c r="A391" s="335">
        <f t="shared" si="136"/>
        <v>312</v>
      </c>
      <c r="B391" s="257" t="s">
        <v>128</v>
      </c>
      <c r="C391" s="302" t="s">
        <v>176</v>
      </c>
      <c r="D391" s="254" t="s">
        <v>354</v>
      </c>
      <c r="E391" s="254">
        <v>156.32</v>
      </c>
      <c r="F391" s="254">
        <v>5</v>
      </c>
      <c r="G391" s="254">
        <f t="shared" si="134"/>
        <v>781.6</v>
      </c>
      <c r="H391" s="254"/>
      <c r="I391" s="299">
        <v>100.49</v>
      </c>
      <c r="J391" s="300">
        <v>1.9442999999999999</v>
      </c>
      <c r="K391" s="299">
        <f t="shared" si="135"/>
        <v>195.38</v>
      </c>
      <c r="L391" s="301">
        <f>ROUND(K391*G391,2)</f>
        <v>152709.01</v>
      </c>
      <c r="M391" s="154">
        <f>ROUND(L391*0.2,2)</f>
        <v>30541.8</v>
      </c>
      <c r="N391" s="73">
        <f>ROUND(L391+M391,2)</f>
        <v>183250.81</v>
      </c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64"/>
      <c r="Z391" s="9"/>
      <c r="AA391" s="18"/>
      <c r="AB391" s="22"/>
      <c r="AC391" s="22"/>
      <c r="AD391" s="22"/>
    </row>
    <row r="392" spans="1:30" s="20" customFormat="1" ht="76.5" hidden="1" x14ac:dyDescent="0.2">
      <c r="A392" s="335">
        <f t="shared" si="136"/>
        <v>313</v>
      </c>
      <c r="B392" s="257" t="s">
        <v>229</v>
      </c>
      <c r="C392" s="302" t="s">
        <v>178</v>
      </c>
      <c r="D392" s="254" t="s">
        <v>513</v>
      </c>
      <c r="E392" s="254">
        <v>1129</v>
      </c>
      <c r="F392" s="254">
        <v>6</v>
      </c>
      <c r="G392" s="254">
        <f t="shared" si="134"/>
        <v>6774</v>
      </c>
      <c r="H392" s="254"/>
      <c r="I392" s="299">
        <v>126.79</v>
      </c>
      <c r="J392" s="300">
        <v>1.9442999999999999</v>
      </c>
      <c r="K392" s="299">
        <f t="shared" si="135"/>
        <v>246.52</v>
      </c>
      <c r="L392" s="301">
        <f>ROUND(K392*G392,2)</f>
        <v>1669926.48</v>
      </c>
      <c r="M392" s="154">
        <f>ROUND(L392*0.2,2)</f>
        <v>333985.3</v>
      </c>
      <c r="N392" s="73">
        <f>ROUND(L392+M392,2)</f>
        <v>2003911.78</v>
      </c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64"/>
      <c r="Z392" s="9"/>
      <c r="AA392" s="18"/>
      <c r="AB392" s="22"/>
      <c r="AC392" s="22"/>
      <c r="AD392" s="22"/>
    </row>
    <row r="393" spans="1:30" s="20" customFormat="1" ht="76.5" hidden="1" x14ac:dyDescent="0.2">
      <c r="A393" s="335">
        <f t="shared" si="136"/>
        <v>314</v>
      </c>
      <c r="B393" s="257" t="s">
        <v>230</v>
      </c>
      <c r="C393" s="302" t="s">
        <v>231</v>
      </c>
      <c r="D393" s="254" t="s">
        <v>513</v>
      </c>
      <c r="E393" s="254">
        <v>468.96</v>
      </c>
      <c r="F393" s="254">
        <v>5</v>
      </c>
      <c r="G393" s="254">
        <f t="shared" si="134"/>
        <v>2344.8000000000002</v>
      </c>
      <c r="H393" s="254"/>
      <c r="I393" s="299">
        <v>57.42</v>
      </c>
      <c r="J393" s="300">
        <v>1.9442999999999999</v>
      </c>
      <c r="K393" s="299">
        <f t="shared" si="135"/>
        <v>111.64</v>
      </c>
      <c r="L393" s="301">
        <f>ROUND(K393*G393,2)</f>
        <v>261773.47</v>
      </c>
      <c r="M393" s="154">
        <f>ROUND(L393*0.2,2)</f>
        <v>52354.69</v>
      </c>
      <c r="N393" s="73">
        <f>ROUND(L393+M393,2)</f>
        <v>314128.15999999997</v>
      </c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64"/>
      <c r="Z393" s="9"/>
      <c r="AA393" s="18"/>
      <c r="AB393" s="22"/>
      <c r="AC393" s="22"/>
      <c r="AD393" s="22"/>
    </row>
    <row r="394" spans="1:30" s="20" customFormat="1" ht="88.5" hidden="1" customHeight="1" x14ac:dyDescent="0.2">
      <c r="A394" s="335">
        <f t="shared" si="136"/>
        <v>315</v>
      </c>
      <c r="B394" s="257" t="s">
        <v>521</v>
      </c>
      <c r="C394" s="302" t="s">
        <v>338</v>
      </c>
      <c r="D394" s="254" t="s">
        <v>513</v>
      </c>
      <c r="E394" s="254">
        <v>181.49600000000001</v>
      </c>
      <c r="F394" s="254">
        <v>6</v>
      </c>
      <c r="G394" s="254">
        <f t="shared" si="134"/>
        <v>1088.98</v>
      </c>
      <c r="H394" s="254"/>
      <c r="I394" s="299">
        <v>26.46</v>
      </c>
      <c r="J394" s="300">
        <v>1.9442999999999999</v>
      </c>
      <c r="K394" s="299">
        <f t="shared" si="135"/>
        <v>51.45</v>
      </c>
      <c r="L394" s="301">
        <f t="shared" ref="L394:L410" si="137">ROUND(K394*G394,2)</f>
        <v>56028.02</v>
      </c>
      <c r="M394" s="154">
        <f t="shared" ref="M394:M410" si="138">ROUND(L394*0.2,2)</f>
        <v>11205.6</v>
      </c>
      <c r="N394" s="73">
        <f t="shared" ref="N394:N410" si="139">ROUND(L394+M394,2)</f>
        <v>67233.62</v>
      </c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64"/>
      <c r="Z394" s="9"/>
      <c r="AA394" s="18"/>
      <c r="AB394" s="22"/>
      <c r="AC394" s="22"/>
      <c r="AD394" s="22"/>
    </row>
    <row r="395" spans="1:30" s="20" customFormat="1" ht="58.5" hidden="1" customHeight="1" x14ac:dyDescent="0.2">
      <c r="A395" s="335">
        <f t="shared" si="136"/>
        <v>316</v>
      </c>
      <c r="B395" s="257" t="s">
        <v>232</v>
      </c>
      <c r="C395" s="302" t="s">
        <v>522</v>
      </c>
      <c r="D395" s="254" t="s">
        <v>513</v>
      </c>
      <c r="E395" s="254">
        <v>181.49600000000001</v>
      </c>
      <c r="F395" s="254">
        <v>6</v>
      </c>
      <c r="G395" s="254">
        <f t="shared" si="134"/>
        <v>1088.98</v>
      </c>
      <c r="H395" s="254"/>
      <c r="I395" s="299">
        <v>41.19</v>
      </c>
      <c r="J395" s="300">
        <v>1.9442999999999999</v>
      </c>
      <c r="K395" s="299">
        <f t="shared" si="135"/>
        <v>80.09</v>
      </c>
      <c r="L395" s="301">
        <f t="shared" si="137"/>
        <v>87216.41</v>
      </c>
      <c r="M395" s="154">
        <f t="shared" si="138"/>
        <v>17443.28</v>
      </c>
      <c r="N395" s="73">
        <f t="shared" si="139"/>
        <v>104659.69</v>
      </c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64"/>
      <c r="Z395" s="9"/>
      <c r="AA395" s="18"/>
      <c r="AB395" s="22"/>
      <c r="AC395" s="22"/>
      <c r="AD395" s="22"/>
    </row>
    <row r="396" spans="1:30" s="20" customFormat="1" ht="48" hidden="1" customHeight="1" x14ac:dyDescent="0.2">
      <c r="A396" s="335">
        <f t="shared" si="136"/>
        <v>317</v>
      </c>
      <c r="B396" s="257" t="s">
        <v>133</v>
      </c>
      <c r="C396" s="302" t="s">
        <v>339</v>
      </c>
      <c r="D396" s="254" t="s">
        <v>513</v>
      </c>
      <c r="E396" s="254">
        <v>181.49600000000001</v>
      </c>
      <c r="F396" s="254">
        <v>5</v>
      </c>
      <c r="G396" s="254">
        <f t="shared" si="134"/>
        <v>907.48</v>
      </c>
      <c r="H396" s="254"/>
      <c r="I396" s="299">
        <v>57.06</v>
      </c>
      <c r="J396" s="300">
        <v>1.9442999999999999</v>
      </c>
      <c r="K396" s="299">
        <f t="shared" si="135"/>
        <v>110.94</v>
      </c>
      <c r="L396" s="301">
        <f t="shared" si="137"/>
        <v>100675.83</v>
      </c>
      <c r="M396" s="154">
        <f t="shared" si="138"/>
        <v>20135.169999999998</v>
      </c>
      <c r="N396" s="73">
        <f t="shared" si="139"/>
        <v>120811</v>
      </c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64"/>
      <c r="Z396" s="9"/>
      <c r="AA396" s="18"/>
      <c r="AB396" s="22"/>
      <c r="AC396" s="22"/>
      <c r="AD396" s="22"/>
    </row>
    <row r="397" spans="1:30" s="20" customFormat="1" ht="48.75" hidden="1" customHeight="1" x14ac:dyDescent="0.2">
      <c r="A397" s="335">
        <f t="shared" si="136"/>
        <v>318</v>
      </c>
      <c r="B397" s="257" t="s">
        <v>133</v>
      </c>
      <c r="C397" s="302" t="s">
        <v>481</v>
      </c>
      <c r="D397" s="254" t="s">
        <v>513</v>
      </c>
      <c r="E397" s="254">
        <v>205.429</v>
      </c>
      <c r="F397" s="254">
        <v>5</v>
      </c>
      <c r="G397" s="254">
        <f t="shared" si="134"/>
        <v>1027.1500000000001</v>
      </c>
      <c r="H397" s="254"/>
      <c r="I397" s="299">
        <v>57.06</v>
      </c>
      <c r="J397" s="300">
        <v>1.9442999999999999</v>
      </c>
      <c r="K397" s="299">
        <f t="shared" si="135"/>
        <v>110.94</v>
      </c>
      <c r="L397" s="301">
        <f t="shared" si="137"/>
        <v>113952.02</v>
      </c>
      <c r="M397" s="154">
        <f t="shared" si="138"/>
        <v>22790.400000000001</v>
      </c>
      <c r="N397" s="73">
        <f t="shared" si="139"/>
        <v>136742.42000000001</v>
      </c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64"/>
      <c r="Z397" s="9"/>
      <c r="AA397" s="18"/>
      <c r="AB397" s="22"/>
      <c r="AC397" s="22"/>
      <c r="AD397" s="22"/>
    </row>
    <row r="398" spans="1:30" s="20" customFormat="1" ht="76.5" hidden="1" x14ac:dyDescent="0.2">
      <c r="A398" s="335">
        <f t="shared" si="136"/>
        <v>319</v>
      </c>
      <c r="B398" s="257" t="s">
        <v>129</v>
      </c>
      <c r="C398" s="302" t="s">
        <v>1</v>
      </c>
      <c r="D398" s="254" t="s">
        <v>355</v>
      </c>
      <c r="E398" s="299">
        <f>(E396+E397)*1000*300/1000/1000</f>
        <v>116.0775</v>
      </c>
      <c r="F398" s="254">
        <v>5</v>
      </c>
      <c r="G398" s="254">
        <f t="shared" si="134"/>
        <v>580.39</v>
      </c>
      <c r="H398" s="254"/>
      <c r="I398" s="299">
        <v>769.85</v>
      </c>
      <c r="J398" s="300">
        <v>1.9442999999999999</v>
      </c>
      <c r="K398" s="299">
        <f>ROUND(I398*J398,2)</f>
        <v>1496.82</v>
      </c>
      <c r="L398" s="301">
        <f t="shared" si="137"/>
        <v>868739.36</v>
      </c>
      <c r="M398" s="154">
        <f t="shared" si="138"/>
        <v>173747.87</v>
      </c>
      <c r="N398" s="73">
        <f t="shared" si="139"/>
        <v>1042487.23</v>
      </c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64"/>
      <c r="Z398" s="9"/>
      <c r="AA398" s="18"/>
      <c r="AB398" s="22"/>
      <c r="AC398" s="22"/>
      <c r="AD398" s="22"/>
    </row>
    <row r="399" spans="1:30" s="20" customFormat="1" ht="51.75" hidden="1" customHeight="1" x14ac:dyDescent="0.2">
      <c r="A399" s="335">
        <f t="shared" si="136"/>
        <v>320</v>
      </c>
      <c r="B399" s="257" t="s">
        <v>233</v>
      </c>
      <c r="C399" s="302" t="s">
        <v>114</v>
      </c>
      <c r="D399" s="254" t="s">
        <v>513</v>
      </c>
      <c r="E399" s="254">
        <v>1.94</v>
      </c>
      <c r="F399" s="254">
        <v>4</v>
      </c>
      <c r="G399" s="254">
        <f t="shared" si="134"/>
        <v>7.76</v>
      </c>
      <c r="H399" s="254"/>
      <c r="I399" s="299">
        <v>8421.01</v>
      </c>
      <c r="J399" s="300">
        <v>1.9442999999999999</v>
      </c>
      <c r="K399" s="299">
        <f t="shared" si="135"/>
        <v>16372.97</v>
      </c>
      <c r="L399" s="301">
        <f t="shared" si="137"/>
        <v>127054.25</v>
      </c>
      <c r="M399" s="154">
        <f t="shared" si="138"/>
        <v>25410.85</v>
      </c>
      <c r="N399" s="73">
        <f t="shared" si="139"/>
        <v>152465.1</v>
      </c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64"/>
      <c r="Z399" s="9"/>
      <c r="AA399" s="18"/>
      <c r="AB399" s="22"/>
      <c r="AC399" s="22"/>
      <c r="AD399" s="22"/>
    </row>
    <row r="400" spans="1:30" s="20" customFormat="1" ht="76.5" hidden="1" x14ac:dyDescent="0.2">
      <c r="A400" s="335">
        <f t="shared" si="136"/>
        <v>321</v>
      </c>
      <c r="B400" s="257" t="s">
        <v>234</v>
      </c>
      <c r="C400" s="302" t="s">
        <v>186</v>
      </c>
      <c r="D400" s="254" t="s">
        <v>354</v>
      </c>
      <c r="E400" s="254">
        <v>77.908000000000001</v>
      </c>
      <c r="F400" s="254">
        <v>1</v>
      </c>
      <c r="G400" s="254">
        <f t="shared" si="134"/>
        <v>77.91</v>
      </c>
      <c r="H400" s="254"/>
      <c r="I400" s="299">
        <v>234.64</v>
      </c>
      <c r="J400" s="300">
        <v>1.9442999999999999</v>
      </c>
      <c r="K400" s="299">
        <f t="shared" si="135"/>
        <v>456.21</v>
      </c>
      <c r="L400" s="301">
        <f t="shared" si="137"/>
        <v>35543.32</v>
      </c>
      <c r="M400" s="154">
        <f t="shared" si="138"/>
        <v>7108.66</v>
      </c>
      <c r="N400" s="73">
        <f t="shared" si="139"/>
        <v>42651.98</v>
      </c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64"/>
      <c r="Z400" s="9"/>
      <c r="AA400" s="18"/>
      <c r="AB400" s="22"/>
      <c r="AC400" s="22"/>
      <c r="AD400" s="22"/>
    </row>
    <row r="401" spans="1:30" s="20" customFormat="1" ht="76.5" hidden="1" x14ac:dyDescent="0.2">
      <c r="A401" s="335">
        <f t="shared" si="136"/>
        <v>322</v>
      </c>
      <c r="B401" s="257" t="s">
        <v>131</v>
      </c>
      <c r="C401" s="302" t="s">
        <v>235</v>
      </c>
      <c r="D401" s="254" t="s">
        <v>354</v>
      </c>
      <c r="E401" s="254">
        <f>813</f>
        <v>813</v>
      </c>
      <c r="F401" s="254">
        <v>1</v>
      </c>
      <c r="G401" s="254">
        <f t="shared" ref="G401:G409" si="140">ROUND(E401*F401,2)</f>
        <v>813</v>
      </c>
      <c r="H401" s="254"/>
      <c r="I401" s="299">
        <v>238.67</v>
      </c>
      <c r="J401" s="300">
        <v>1.9442999999999999</v>
      </c>
      <c r="K401" s="299">
        <f t="shared" si="135"/>
        <v>464.05</v>
      </c>
      <c r="L401" s="301">
        <f t="shared" si="137"/>
        <v>377272.65</v>
      </c>
      <c r="M401" s="154">
        <f t="shared" si="138"/>
        <v>75454.53</v>
      </c>
      <c r="N401" s="73">
        <f t="shared" si="139"/>
        <v>452727.18</v>
      </c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64"/>
      <c r="Z401" s="9"/>
      <c r="AA401" s="18"/>
      <c r="AB401" s="22"/>
      <c r="AC401" s="22"/>
      <c r="AD401" s="22"/>
    </row>
    <row r="402" spans="1:30" s="20" customFormat="1" ht="76.5" hidden="1" x14ac:dyDescent="0.2">
      <c r="A402" s="335">
        <f t="shared" si="136"/>
        <v>323</v>
      </c>
      <c r="B402" s="257" t="s">
        <v>130</v>
      </c>
      <c r="C402" s="302" t="s">
        <v>94</v>
      </c>
      <c r="D402" s="254" t="s">
        <v>422</v>
      </c>
      <c r="E402" s="254">
        <v>224</v>
      </c>
      <c r="F402" s="254">
        <v>1</v>
      </c>
      <c r="G402" s="254">
        <f t="shared" si="140"/>
        <v>224</v>
      </c>
      <c r="H402" s="254"/>
      <c r="I402" s="299">
        <v>6.22</v>
      </c>
      <c r="J402" s="300">
        <v>1.9442999999999999</v>
      </c>
      <c r="K402" s="299">
        <f t="shared" si="135"/>
        <v>12.09</v>
      </c>
      <c r="L402" s="301">
        <f t="shared" si="137"/>
        <v>2708.16</v>
      </c>
      <c r="M402" s="154">
        <f t="shared" si="138"/>
        <v>541.63</v>
      </c>
      <c r="N402" s="73">
        <f t="shared" si="139"/>
        <v>3249.79</v>
      </c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64"/>
      <c r="Z402" s="9"/>
      <c r="AA402" s="18"/>
      <c r="AB402" s="22"/>
      <c r="AC402" s="22"/>
      <c r="AD402" s="22"/>
    </row>
    <row r="403" spans="1:30" s="20" customFormat="1" ht="51" hidden="1" x14ac:dyDescent="0.2">
      <c r="A403" s="335">
        <f t="shared" si="136"/>
        <v>324</v>
      </c>
      <c r="B403" s="257" t="s">
        <v>482</v>
      </c>
      <c r="C403" s="257" t="s">
        <v>483</v>
      </c>
      <c r="D403" s="254" t="s">
        <v>422</v>
      </c>
      <c r="E403" s="254">
        <v>196</v>
      </c>
      <c r="F403" s="254">
        <v>1</v>
      </c>
      <c r="G403" s="254">
        <f t="shared" si="140"/>
        <v>196</v>
      </c>
      <c r="H403" s="254"/>
      <c r="I403" s="299">
        <v>134.49</v>
      </c>
      <c r="J403" s="300">
        <v>1.9442999999999999</v>
      </c>
      <c r="K403" s="299">
        <f t="shared" si="135"/>
        <v>261.49</v>
      </c>
      <c r="L403" s="301">
        <f t="shared" si="137"/>
        <v>51252.04</v>
      </c>
      <c r="M403" s="154">
        <f t="shared" si="138"/>
        <v>10250.41</v>
      </c>
      <c r="N403" s="73">
        <f t="shared" si="139"/>
        <v>61502.45</v>
      </c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64"/>
      <c r="Z403" s="9"/>
      <c r="AA403" s="18"/>
      <c r="AB403" s="22"/>
      <c r="AC403" s="22"/>
      <c r="AD403" s="22"/>
    </row>
    <row r="404" spans="1:30" s="20" customFormat="1" ht="76.5" hidden="1" x14ac:dyDescent="0.2">
      <c r="A404" s="335">
        <f t="shared" si="136"/>
        <v>325</v>
      </c>
      <c r="B404" s="257" t="s">
        <v>227</v>
      </c>
      <c r="C404" s="302" t="s">
        <v>171</v>
      </c>
      <c r="D404" s="254" t="s">
        <v>422</v>
      </c>
      <c r="E404" s="254">
        <v>422</v>
      </c>
      <c r="F404" s="254">
        <v>3</v>
      </c>
      <c r="G404" s="254">
        <f t="shared" si="140"/>
        <v>1266</v>
      </c>
      <c r="H404" s="254"/>
      <c r="I404" s="299">
        <v>12.79</v>
      </c>
      <c r="J404" s="300">
        <v>1.9442999999999999</v>
      </c>
      <c r="K404" s="299">
        <f t="shared" si="135"/>
        <v>24.87</v>
      </c>
      <c r="L404" s="301">
        <f t="shared" si="137"/>
        <v>31485.42</v>
      </c>
      <c r="M404" s="154">
        <f t="shared" si="138"/>
        <v>6297.08</v>
      </c>
      <c r="N404" s="73">
        <f t="shared" si="139"/>
        <v>37782.5</v>
      </c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64"/>
      <c r="Z404" s="9"/>
      <c r="AA404" s="18"/>
      <c r="AB404" s="22"/>
      <c r="AC404" s="22"/>
      <c r="AD404" s="22"/>
    </row>
    <row r="405" spans="1:30" s="20" customFormat="1" ht="51" hidden="1" x14ac:dyDescent="0.2">
      <c r="A405" s="335">
        <f t="shared" si="136"/>
        <v>326</v>
      </c>
      <c r="B405" s="257" t="s">
        <v>484</v>
      </c>
      <c r="C405" s="321" t="s">
        <v>485</v>
      </c>
      <c r="D405" s="254" t="s">
        <v>422</v>
      </c>
      <c r="E405" s="254">
        <v>639</v>
      </c>
      <c r="F405" s="254">
        <v>2</v>
      </c>
      <c r="G405" s="254">
        <f t="shared" si="140"/>
        <v>1278</v>
      </c>
      <c r="H405" s="305"/>
      <c r="I405" s="299">
        <v>10.81</v>
      </c>
      <c r="J405" s="300">
        <v>1.9442999999999999</v>
      </c>
      <c r="K405" s="299">
        <f t="shared" si="135"/>
        <v>21.02</v>
      </c>
      <c r="L405" s="301">
        <f t="shared" si="137"/>
        <v>26863.56</v>
      </c>
      <c r="M405" s="154">
        <f t="shared" si="138"/>
        <v>5372.71</v>
      </c>
      <c r="N405" s="73">
        <f t="shared" si="139"/>
        <v>32236.27</v>
      </c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64"/>
      <c r="Z405" s="9"/>
      <c r="AA405" s="18"/>
      <c r="AB405" s="22"/>
      <c r="AC405" s="22"/>
      <c r="AD405" s="22"/>
    </row>
    <row r="406" spans="1:30" s="20" customFormat="1" ht="51" hidden="1" x14ac:dyDescent="0.2">
      <c r="A406" s="335">
        <f t="shared" si="136"/>
        <v>327</v>
      </c>
      <c r="B406" s="321" t="s">
        <v>486</v>
      </c>
      <c r="C406" s="257" t="s">
        <v>487</v>
      </c>
      <c r="D406" s="254" t="s">
        <v>422</v>
      </c>
      <c r="E406" s="254">
        <v>693</v>
      </c>
      <c r="F406" s="254">
        <v>2</v>
      </c>
      <c r="G406" s="254">
        <f t="shared" si="140"/>
        <v>1386</v>
      </c>
      <c r="H406" s="305"/>
      <c r="I406" s="299">
        <v>8.8800000000000008</v>
      </c>
      <c r="J406" s="300">
        <v>1.9442999999999999</v>
      </c>
      <c r="K406" s="299">
        <f t="shared" si="135"/>
        <v>17.27</v>
      </c>
      <c r="L406" s="301">
        <f t="shared" si="137"/>
        <v>23936.22</v>
      </c>
      <c r="M406" s="154">
        <f t="shared" si="138"/>
        <v>4787.24</v>
      </c>
      <c r="N406" s="73">
        <f t="shared" si="139"/>
        <v>28723.46</v>
      </c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64"/>
      <c r="Z406" s="9"/>
      <c r="AA406" s="18"/>
      <c r="AB406" s="22"/>
      <c r="AC406" s="22"/>
      <c r="AD406" s="22"/>
    </row>
    <row r="407" spans="1:30" s="20" customFormat="1" ht="51" hidden="1" x14ac:dyDescent="0.2">
      <c r="A407" s="335">
        <f t="shared" si="136"/>
        <v>328</v>
      </c>
      <c r="B407" s="257" t="s">
        <v>488</v>
      </c>
      <c r="C407" s="257" t="s">
        <v>489</v>
      </c>
      <c r="D407" s="254" t="s">
        <v>433</v>
      </c>
      <c r="E407" s="254">
        <v>1740</v>
      </c>
      <c r="F407" s="254">
        <v>2</v>
      </c>
      <c r="G407" s="254">
        <f t="shared" si="140"/>
        <v>3480</v>
      </c>
      <c r="H407" s="305"/>
      <c r="I407" s="299">
        <v>1.99</v>
      </c>
      <c r="J407" s="300">
        <v>1.9442999999999999</v>
      </c>
      <c r="K407" s="299">
        <f t="shared" si="135"/>
        <v>3.87</v>
      </c>
      <c r="L407" s="301">
        <f t="shared" si="137"/>
        <v>13467.6</v>
      </c>
      <c r="M407" s="154">
        <f t="shared" si="138"/>
        <v>2693.52</v>
      </c>
      <c r="N407" s="73">
        <f t="shared" si="139"/>
        <v>16161.12</v>
      </c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64"/>
      <c r="Z407" s="9"/>
      <c r="AA407" s="18"/>
      <c r="AB407" s="22"/>
      <c r="AC407" s="22"/>
      <c r="AD407" s="22"/>
    </row>
    <row r="408" spans="1:30" s="20" customFormat="1" ht="51" hidden="1" x14ac:dyDescent="0.2">
      <c r="A408" s="335">
        <f t="shared" si="136"/>
        <v>329</v>
      </c>
      <c r="B408" s="257" t="s">
        <v>490</v>
      </c>
      <c r="C408" s="257" t="s">
        <v>491</v>
      </c>
      <c r="D408" s="254" t="s">
        <v>433</v>
      </c>
      <c r="E408" s="254">
        <v>1740</v>
      </c>
      <c r="F408" s="254">
        <v>2</v>
      </c>
      <c r="G408" s="254">
        <f t="shared" si="140"/>
        <v>3480</v>
      </c>
      <c r="H408" s="305"/>
      <c r="I408" s="299">
        <v>4.8899999999999997</v>
      </c>
      <c r="J408" s="300">
        <v>1.9442999999999999</v>
      </c>
      <c r="K408" s="299">
        <f t="shared" si="135"/>
        <v>9.51</v>
      </c>
      <c r="L408" s="301">
        <f t="shared" si="137"/>
        <v>33094.800000000003</v>
      </c>
      <c r="M408" s="154">
        <f t="shared" si="138"/>
        <v>6618.96</v>
      </c>
      <c r="N408" s="73">
        <f t="shared" si="139"/>
        <v>39713.760000000002</v>
      </c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64"/>
      <c r="Z408" s="9"/>
      <c r="AA408" s="18"/>
      <c r="AB408" s="22"/>
      <c r="AC408" s="22"/>
      <c r="AD408" s="22"/>
    </row>
    <row r="409" spans="1:30" s="20" customFormat="1" ht="63.75" hidden="1" x14ac:dyDescent="0.2">
      <c r="A409" s="335">
        <f t="shared" si="136"/>
        <v>330</v>
      </c>
      <c r="B409" s="220" t="s">
        <v>480</v>
      </c>
      <c r="C409" s="302" t="s">
        <v>512</v>
      </c>
      <c r="D409" s="254" t="s">
        <v>507</v>
      </c>
      <c r="E409" s="254">
        <v>7</v>
      </c>
      <c r="F409" s="254">
        <v>3</v>
      </c>
      <c r="G409" s="254">
        <f t="shared" si="140"/>
        <v>21</v>
      </c>
      <c r="H409" s="254"/>
      <c r="I409" s="299">
        <v>4248.72</v>
      </c>
      <c r="J409" s="300">
        <v>1.9442999999999999</v>
      </c>
      <c r="K409" s="299">
        <f t="shared" si="135"/>
        <v>8260.7900000000009</v>
      </c>
      <c r="L409" s="301">
        <f t="shared" si="137"/>
        <v>173476.59</v>
      </c>
      <c r="M409" s="154">
        <f t="shared" si="138"/>
        <v>34695.32</v>
      </c>
      <c r="N409" s="73">
        <f t="shared" si="139"/>
        <v>208171.91</v>
      </c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64"/>
      <c r="Z409" s="9"/>
      <c r="AA409" s="18"/>
      <c r="AB409" s="22"/>
      <c r="AC409" s="22"/>
      <c r="AD409" s="22"/>
    </row>
    <row r="410" spans="1:30" s="20" customFormat="1" ht="38.25" hidden="1" x14ac:dyDescent="0.2">
      <c r="A410" s="335">
        <f t="shared" si="136"/>
        <v>331</v>
      </c>
      <c r="B410" s="236" t="s">
        <v>480</v>
      </c>
      <c r="C410" s="257" t="s">
        <v>523</v>
      </c>
      <c r="D410" s="254" t="s">
        <v>507</v>
      </c>
      <c r="E410" s="254">
        <v>1</v>
      </c>
      <c r="F410" s="254">
        <v>92</v>
      </c>
      <c r="G410" s="254">
        <f>F410*E410</f>
        <v>92</v>
      </c>
      <c r="H410" s="254"/>
      <c r="I410" s="299">
        <v>535.76</v>
      </c>
      <c r="J410" s="308">
        <v>1</v>
      </c>
      <c r="K410" s="299">
        <f>ROUND(I410*J410,2)</f>
        <v>535.76</v>
      </c>
      <c r="L410" s="301">
        <f t="shared" si="137"/>
        <v>49289.919999999998</v>
      </c>
      <c r="M410" s="154">
        <f t="shared" si="138"/>
        <v>9857.98</v>
      </c>
      <c r="N410" s="73">
        <f t="shared" si="139"/>
        <v>59147.9</v>
      </c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64"/>
      <c r="Z410" s="9"/>
      <c r="AA410" s="18"/>
      <c r="AB410" s="22"/>
      <c r="AC410" s="22"/>
      <c r="AD410" s="22"/>
    </row>
    <row r="411" spans="1:30" s="20" customFormat="1" ht="51" hidden="1" x14ac:dyDescent="0.2">
      <c r="A411" s="335"/>
      <c r="B411" s="357"/>
      <c r="C411" s="224" t="s">
        <v>22</v>
      </c>
      <c r="D411" s="254"/>
      <c r="E411" s="254"/>
      <c r="F411" s="254"/>
      <c r="G411" s="254"/>
      <c r="H411" s="298"/>
      <c r="I411" s="299"/>
      <c r="J411" s="300"/>
      <c r="K411" s="299"/>
      <c r="L411" s="301"/>
      <c r="M411" s="154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64"/>
      <c r="Z411" s="9"/>
      <c r="AA411" s="18"/>
      <c r="AB411" s="22"/>
      <c r="AC411" s="22"/>
      <c r="AD411" s="22"/>
    </row>
    <row r="412" spans="1:30" s="20" customFormat="1" ht="76.5" hidden="1" x14ac:dyDescent="0.2">
      <c r="A412" s="335">
        <f>A410+1</f>
        <v>332</v>
      </c>
      <c r="B412" s="302" t="s">
        <v>325</v>
      </c>
      <c r="C412" s="302" t="s">
        <v>119</v>
      </c>
      <c r="D412" s="254" t="s">
        <v>439</v>
      </c>
      <c r="E412" s="254">
        <v>1.35</v>
      </c>
      <c r="F412" s="254">
        <v>3</v>
      </c>
      <c r="G412" s="254">
        <f>ROUND(F412*E412,2)</f>
        <v>4.05</v>
      </c>
      <c r="H412" s="298"/>
      <c r="I412" s="299">
        <v>7314.22</v>
      </c>
      <c r="J412" s="300">
        <v>1.9442999999999999</v>
      </c>
      <c r="K412" s="299">
        <f>ROUND(I412*J412,2)</f>
        <v>14221.04</v>
      </c>
      <c r="L412" s="301">
        <f>ROUND(K412*G412,2)</f>
        <v>57595.21</v>
      </c>
      <c r="M412" s="154">
        <f>ROUND(L412*0.2,2)</f>
        <v>11519.04</v>
      </c>
      <c r="N412" s="73">
        <f>ROUND(L412+M412,2)</f>
        <v>69114.25</v>
      </c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64"/>
      <c r="Z412" s="9"/>
      <c r="AA412" s="18"/>
      <c r="AB412" s="22"/>
      <c r="AC412" s="22"/>
      <c r="AD412" s="22"/>
    </row>
    <row r="413" spans="1:30" s="20" customFormat="1" ht="76.5" hidden="1" x14ac:dyDescent="0.2">
      <c r="A413" s="335">
        <f>A412+1</f>
        <v>333</v>
      </c>
      <c r="B413" s="310" t="s">
        <v>326</v>
      </c>
      <c r="C413" s="257" t="s">
        <v>327</v>
      </c>
      <c r="D413" s="254" t="s">
        <v>355</v>
      </c>
      <c r="E413" s="254">
        <v>141</v>
      </c>
      <c r="F413" s="254">
        <v>3</v>
      </c>
      <c r="G413" s="254">
        <f>ROUND(F413*E413,2)</f>
        <v>423</v>
      </c>
      <c r="H413" s="298"/>
      <c r="I413" s="299">
        <v>30.5</v>
      </c>
      <c r="J413" s="300">
        <v>1.9442999999999999</v>
      </c>
      <c r="K413" s="299">
        <f>ROUND(I413*J413,2)</f>
        <v>59.3</v>
      </c>
      <c r="L413" s="301">
        <f>ROUND(K413*G413,2)</f>
        <v>25083.9</v>
      </c>
      <c r="M413" s="154">
        <f>ROUND(L413*0.2,2)</f>
        <v>5016.78</v>
      </c>
      <c r="N413" s="73">
        <f>ROUND(L413+M413,2)</f>
        <v>30100.68</v>
      </c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64"/>
      <c r="Z413" s="9"/>
      <c r="AA413" s="18"/>
      <c r="AB413" s="22"/>
      <c r="AC413" s="22"/>
      <c r="AD413" s="22"/>
    </row>
    <row r="414" spans="1:30" s="20" customFormat="1" ht="57.75" hidden="1" customHeight="1" x14ac:dyDescent="0.2">
      <c r="A414" s="335">
        <f>A413+1</f>
        <v>334</v>
      </c>
      <c r="B414" s="310" t="s">
        <v>328</v>
      </c>
      <c r="C414" s="257" t="s">
        <v>329</v>
      </c>
      <c r="D414" s="254" t="s">
        <v>355</v>
      </c>
      <c r="E414" s="254">
        <v>141</v>
      </c>
      <c r="F414" s="254">
        <v>3</v>
      </c>
      <c r="G414" s="254">
        <f>ROUND(F414*E414,2)</f>
        <v>423</v>
      </c>
      <c r="H414" s="358"/>
      <c r="I414" s="299">
        <v>4.29</v>
      </c>
      <c r="J414" s="300">
        <v>1.9442999999999999</v>
      </c>
      <c r="K414" s="299">
        <f>ROUND(I414*J414,2)</f>
        <v>8.34</v>
      </c>
      <c r="L414" s="301">
        <f>ROUND(K414*G414,2)</f>
        <v>3527.82</v>
      </c>
      <c r="M414" s="154">
        <f>ROUND(L414*0.2,2)</f>
        <v>705.56</v>
      </c>
      <c r="N414" s="73">
        <f>ROUND(L414+M414,2)</f>
        <v>4233.38</v>
      </c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64"/>
      <c r="Z414" s="9"/>
      <c r="AA414" s="18"/>
      <c r="AB414" s="22"/>
      <c r="AC414" s="22"/>
      <c r="AD414" s="22"/>
    </row>
    <row r="415" spans="1:30" s="20" customFormat="1" ht="76.5" hidden="1" x14ac:dyDescent="0.2">
      <c r="A415" s="335">
        <f>A414+1</f>
        <v>335</v>
      </c>
      <c r="B415" s="257" t="s">
        <v>132</v>
      </c>
      <c r="C415" s="302" t="s">
        <v>524</v>
      </c>
      <c r="D415" s="254" t="s">
        <v>433</v>
      </c>
      <c r="E415" s="254">
        <v>900</v>
      </c>
      <c r="F415" s="254">
        <v>2</v>
      </c>
      <c r="G415" s="254">
        <f>ROUND(E415*F415,2)</f>
        <v>1800</v>
      </c>
      <c r="H415" s="254"/>
      <c r="I415" s="299">
        <v>4.8899999999999997</v>
      </c>
      <c r="J415" s="300">
        <v>1.9442999999999999</v>
      </c>
      <c r="K415" s="299">
        <f>ROUND(I415*J415,2)</f>
        <v>9.51</v>
      </c>
      <c r="L415" s="301">
        <f>ROUND(K415*G415,2)</f>
        <v>17118</v>
      </c>
      <c r="M415" s="154">
        <f>ROUND(L415*0.2,2)</f>
        <v>3423.6</v>
      </c>
      <c r="N415" s="73">
        <f>ROUND(L415+M415,2)</f>
        <v>20541.599999999999</v>
      </c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64"/>
      <c r="Z415" s="9"/>
      <c r="AA415" s="18"/>
      <c r="AB415" s="22"/>
      <c r="AC415" s="22"/>
      <c r="AD415" s="22"/>
    </row>
    <row r="416" spans="1:30" s="20" customFormat="1" ht="38.25" hidden="1" x14ac:dyDescent="0.2">
      <c r="A416" s="335"/>
      <c r="B416" s="348"/>
      <c r="C416" s="66" t="s">
        <v>23</v>
      </c>
      <c r="D416" s="254"/>
      <c r="E416" s="254"/>
      <c r="F416" s="254"/>
      <c r="G416" s="254"/>
      <c r="H416" s="254"/>
      <c r="I416" s="299"/>
      <c r="J416" s="300"/>
      <c r="K416" s="299"/>
      <c r="L416" s="301"/>
      <c r="M416" s="154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64"/>
      <c r="Z416" s="9"/>
      <c r="AA416" s="18"/>
      <c r="AB416" s="22"/>
      <c r="AC416" s="22"/>
      <c r="AD416" s="22"/>
    </row>
    <row r="417" spans="1:30" s="20" customFormat="1" ht="48" hidden="1" customHeight="1" x14ac:dyDescent="0.2">
      <c r="A417" s="335"/>
      <c r="B417" s="307"/>
      <c r="C417" s="225" t="s">
        <v>24</v>
      </c>
      <c r="D417" s="254"/>
      <c r="E417" s="254"/>
      <c r="F417" s="254"/>
      <c r="G417" s="254"/>
      <c r="H417" s="254"/>
      <c r="I417" s="254"/>
      <c r="J417" s="300"/>
      <c r="K417" s="299"/>
      <c r="L417" s="301"/>
      <c r="M417" s="154"/>
      <c r="N417" s="73"/>
      <c r="O417" s="526">
        <v>5781728.6199999992</v>
      </c>
      <c r="P417" s="73"/>
      <c r="Q417" s="73"/>
      <c r="R417" s="73"/>
      <c r="S417" s="73"/>
      <c r="T417" s="73"/>
      <c r="U417" s="73"/>
      <c r="V417" s="73"/>
      <c r="W417" s="73"/>
      <c r="X417" s="73"/>
      <c r="Y417" s="186">
        <f>SUM(N418:N421)</f>
        <v>59839.729999999996</v>
      </c>
      <c r="Z417" s="9"/>
      <c r="AA417" s="18"/>
      <c r="AB417" s="22"/>
      <c r="AC417" s="22"/>
      <c r="AD417" s="22"/>
    </row>
    <row r="418" spans="1:30" s="20" customFormat="1" ht="77.25" hidden="1" customHeight="1" x14ac:dyDescent="0.2">
      <c r="A418" s="335">
        <f>A415+1</f>
        <v>336</v>
      </c>
      <c r="B418" s="307" t="s">
        <v>135</v>
      </c>
      <c r="C418" s="302" t="s">
        <v>89</v>
      </c>
      <c r="D418" s="254" t="s">
        <v>422</v>
      </c>
      <c r="E418" s="254">
        <v>3</v>
      </c>
      <c r="F418" s="254">
        <v>2</v>
      </c>
      <c r="G418" s="254">
        <f>ROUND(E418*F418,2)</f>
        <v>6</v>
      </c>
      <c r="H418" s="254"/>
      <c r="I418" s="299">
        <v>964.56</v>
      </c>
      <c r="J418" s="300">
        <v>1.9442999999999999</v>
      </c>
      <c r="K418" s="299">
        <f>ROUND(I418*J418,2)</f>
        <v>1875.39</v>
      </c>
      <c r="L418" s="301">
        <f>ROUND(K418*G418,2)</f>
        <v>11252.34</v>
      </c>
      <c r="M418" s="154">
        <f>ROUND(L418*0.2,2)</f>
        <v>2250.4699999999998</v>
      </c>
      <c r="N418" s="73">
        <f>ROUND(L418+M418,2)</f>
        <v>13502.81</v>
      </c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64"/>
      <c r="Z418" s="9"/>
      <c r="AA418" s="18"/>
      <c r="AB418" s="22"/>
      <c r="AC418" s="22"/>
      <c r="AD418" s="22"/>
    </row>
    <row r="419" spans="1:30" s="20" customFormat="1" ht="94.5" hidden="1" customHeight="1" x14ac:dyDescent="0.2">
      <c r="A419" s="335">
        <f>A418+1</f>
        <v>337</v>
      </c>
      <c r="B419" s="307" t="s">
        <v>414</v>
      </c>
      <c r="C419" s="302" t="s">
        <v>424</v>
      </c>
      <c r="D419" s="254" t="s">
        <v>422</v>
      </c>
      <c r="E419" s="254">
        <v>1</v>
      </c>
      <c r="F419" s="254">
        <v>2</v>
      </c>
      <c r="G419" s="254">
        <f>ROUND(E419*F419,2)</f>
        <v>2</v>
      </c>
      <c r="H419" s="254"/>
      <c r="I419" s="299">
        <v>161.86000000000001</v>
      </c>
      <c r="J419" s="300">
        <v>9.86</v>
      </c>
      <c r="K419" s="299">
        <f>ROUND(I419*J419,2)</f>
        <v>1595.94</v>
      </c>
      <c r="L419" s="301">
        <f>ROUND(K419*G419,2)</f>
        <v>3191.88</v>
      </c>
      <c r="M419" s="154">
        <f>ROUND(L419*0.2,2)</f>
        <v>638.38</v>
      </c>
      <c r="N419" s="73">
        <f>ROUND(L419+M419,2)</f>
        <v>3830.26</v>
      </c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64"/>
      <c r="Z419" s="9"/>
      <c r="AA419" s="18"/>
      <c r="AB419" s="22"/>
      <c r="AC419" s="22"/>
      <c r="AD419" s="22"/>
    </row>
    <row r="420" spans="1:30" s="20" customFormat="1" ht="47.25" hidden="1" customHeight="1" x14ac:dyDescent="0.2">
      <c r="A420" s="335">
        <f>A419+1</f>
        <v>338</v>
      </c>
      <c r="B420" s="307" t="s">
        <v>427</v>
      </c>
      <c r="C420" s="302" t="s">
        <v>428</v>
      </c>
      <c r="D420" s="254" t="s">
        <v>422</v>
      </c>
      <c r="E420" s="254">
        <v>1</v>
      </c>
      <c r="F420" s="254">
        <v>2</v>
      </c>
      <c r="G420" s="254">
        <f>ROUND(E420*F420,2)</f>
        <v>2</v>
      </c>
      <c r="H420" s="254"/>
      <c r="I420" s="299">
        <v>135.63999999999999</v>
      </c>
      <c r="J420" s="300">
        <v>9.86</v>
      </c>
      <c r="K420" s="299">
        <f>ROUND(I420*J420,2)</f>
        <v>1337.41</v>
      </c>
      <c r="L420" s="301">
        <f>ROUND(K420*G420,2)</f>
        <v>2674.82</v>
      </c>
      <c r="M420" s="154">
        <f>ROUND(L420*0.2,2)</f>
        <v>534.96</v>
      </c>
      <c r="N420" s="73">
        <f>ROUND(L420+M420,2)</f>
        <v>3209.78</v>
      </c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64"/>
      <c r="Z420" s="9"/>
      <c r="AA420" s="18"/>
      <c r="AB420" s="22"/>
      <c r="AC420" s="22"/>
      <c r="AD420" s="22"/>
    </row>
    <row r="421" spans="1:30" s="20" customFormat="1" ht="111" hidden="1" customHeight="1" x14ac:dyDescent="0.2">
      <c r="A421" s="335">
        <f>A420+1</f>
        <v>339</v>
      </c>
      <c r="B421" s="257" t="s">
        <v>341</v>
      </c>
      <c r="C421" s="302" t="s">
        <v>90</v>
      </c>
      <c r="D421" s="254" t="s">
        <v>91</v>
      </c>
      <c r="E421" s="254">
        <v>4140</v>
      </c>
      <c r="F421" s="254">
        <v>1</v>
      </c>
      <c r="G421" s="254">
        <f>ROUND(E421*F421,2)</f>
        <v>4140</v>
      </c>
      <c r="H421" s="254">
        <v>8.52</v>
      </c>
      <c r="I421" s="299">
        <f>H421/1.2</f>
        <v>7.1</v>
      </c>
      <c r="J421" s="254">
        <v>1.1140000000000001</v>
      </c>
      <c r="K421" s="299">
        <f>ROUND(I421*J421,2)</f>
        <v>7.91</v>
      </c>
      <c r="L421" s="301">
        <f>ROUND(K421*G421,2)</f>
        <v>32747.4</v>
      </c>
      <c r="M421" s="154">
        <f>ROUND(L421*0.2,2)</f>
        <v>6549.48</v>
      </c>
      <c r="N421" s="73">
        <f>ROUND(L421+M421,2)</f>
        <v>39296.879999999997</v>
      </c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64"/>
      <c r="Z421" s="9"/>
      <c r="AA421" s="18"/>
      <c r="AB421" s="22"/>
      <c r="AC421" s="22"/>
      <c r="AD421" s="22"/>
    </row>
    <row r="422" spans="1:30" s="20" customFormat="1" ht="89.25" hidden="1" x14ac:dyDescent="0.2">
      <c r="A422" s="335"/>
      <c r="B422" s="307"/>
      <c r="C422" s="242" t="s">
        <v>25</v>
      </c>
      <c r="D422" s="229"/>
      <c r="E422" s="229"/>
      <c r="F422" s="229"/>
      <c r="G422" s="229"/>
      <c r="H422" s="229"/>
      <c r="I422" s="229"/>
      <c r="J422" s="254"/>
      <c r="K422" s="299"/>
      <c r="L422" s="301"/>
      <c r="M422" s="154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186">
        <f>SUM(N423:N426)</f>
        <v>160668.94</v>
      </c>
      <c r="Z422" s="77">
        <v>11002.01</v>
      </c>
      <c r="AA422" s="18">
        <v>73204.17</v>
      </c>
      <c r="AB422" s="22"/>
      <c r="AC422" s="22"/>
      <c r="AD422" s="22"/>
    </row>
    <row r="423" spans="1:30" s="20" customFormat="1" ht="76.5" hidden="1" x14ac:dyDescent="0.2">
      <c r="A423" s="335">
        <f>A421+1</f>
        <v>340</v>
      </c>
      <c r="B423" s="307" t="s">
        <v>135</v>
      </c>
      <c r="C423" s="302" t="s">
        <v>89</v>
      </c>
      <c r="D423" s="254" t="s">
        <v>422</v>
      </c>
      <c r="E423" s="254">
        <v>6</v>
      </c>
      <c r="F423" s="254">
        <v>2</v>
      </c>
      <c r="G423" s="254">
        <f>ROUND(E423*F423,2)</f>
        <v>12</v>
      </c>
      <c r="H423" s="254"/>
      <c r="I423" s="299">
        <v>964.56</v>
      </c>
      <c r="J423" s="300">
        <v>1.9442999999999999</v>
      </c>
      <c r="K423" s="299">
        <f>ROUND(I423*J423,2)</f>
        <v>1875.39</v>
      </c>
      <c r="L423" s="301">
        <f>ROUND(K423*G423,2)</f>
        <v>22504.68</v>
      </c>
      <c r="M423" s="154">
        <f>ROUND(L423*0.2,2)</f>
        <v>4500.9399999999996</v>
      </c>
      <c r="N423" s="73">
        <f>ROUND(L423+M423,2)</f>
        <v>27005.62</v>
      </c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64"/>
      <c r="Z423" s="77"/>
      <c r="AA423" s="18"/>
      <c r="AB423" s="22"/>
      <c r="AC423" s="22"/>
      <c r="AD423" s="22"/>
    </row>
    <row r="424" spans="1:30" s="20" customFormat="1" ht="63.75" hidden="1" x14ac:dyDescent="0.2">
      <c r="A424" s="335">
        <f>A423+1</f>
        <v>341</v>
      </c>
      <c r="B424" s="307" t="s">
        <v>414</v>
      </c>
      <c r="C424" s="302" t="s">
        <v>424</v>
      </c>
      <c r="D424" s="254" t="s">
        <v>422</v>
      </c>
      <c r="E424" s="254">
        <v>1</v>
      </c>
      <c r="F424" s="254">
        <v>2</v>
      </c>
      <c r="G424" s="254">
        <f>ROUND(E424*F424,2)</f>
        <v>2</v>
      </c>
      <c r="H424" s="254"/>
      <c r="I424" s="299">
        <v>161.86000000000001</v>
      </c>
      <c r="J424" s="300">
        <v>9.86</v>
      </c>
      <c r="K424" s="299">
        <f>ROUND(I424*J424,2)</f>
        <v>1595.94</v>
      </c>
      <c r="L424" s="301">
        <f>ROUND(K424*G424,2)</f>
        <v>3191.88</v>
      </c>
      <c r="M424" s="154">
        <f>ROUND(L424*0.2,2)</f>
        <v>638.38</v>
      </c>
      <c r="N424" s="73">
        <f>ROUND(L424+M424,2)</f>
        <v>3830.26</v>
      </c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64"/>
      <c r="Z424" s="77">
        <v>18311.900000000001</v>
      </c>
      <c r="AA424" s="18">
        <v>6098</v>
      </c>
      <c r="AB424" s="22"/>
      <c r="AC424" s="22"/>
      <c r="AD424" s="22"/>
    </row>
    <row r="425" spans="1:30" s="20" customFormat="1" ht="102" hidden="1" x14ac:dyDescent="0.2">
      <c r="A425" s="335">
        <f>A424+1</f>
        <v>342</v>
      </c>
      <c r="B425" s="307" t="s">
        <v>427</v>
      </c>
      <c r="C425" s="302" t="s">
        <v>428</v>
      </c>
      <c r="D425" s="254" t="s">
        <v>422</v>
      </c>
      <c r="E425" s="254">
        <v>1</v>
      </c>
      <c r="F425" s="254">
        <v>2</v>
      </c>
      <c r="G425" s="254">
        <f>ROUND(E425*F425,2)</f>
        <v>2</v>
      </c>
      <c r="H425" s="254"/>
      <c r="I425" s="299">
        <v>135.63999999999999</v>
      </c>
      <c r="J425" s="300">
        <v>9.86</v>
      </c>
      <c r="K425" s="299">
        <f>ROUND(I425*J425,2)</f>
        <v>1337.41</v>
      </c>
      <c r="L425" s="301">
        <f>ROUND(K425*G425,2)</f>
        <v>2674.82</v>
      </c>
      <c r="M425" s="154">
        <f>ROUND(L425*0.2,2)</f>
        <v>534.96</v>
      </c>
      <c r="N425" s="73">
        <f>ROUND(L425+M425,2)</f>
        <v>3209.78</v>
      </c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64"/>
      <c r="Z425" s="77">
        <v>1853.5800000000002</v>
      </c>
      <c r="AA425" s="18">
        <v>15900.48</v>
      </c>
      <c r="AB425" s="22"/>
      <c r="AC425" s="22"/>
      <c r="AD425" s="22"/>
    </row>
    <row r="426" spans="1:30" s="20" customFormat="1" ht="255" hidden="1" x14ac:dyDescent="0.2">
      <c r="A426" s="335">
        <f>A425+1</f>
        <v>343</v>
      </c>
      <c r="B426" s="257" t="s">
        <v>341</v>
      </c>
      <c r="C426" s="302" t="s">
        <v>90</v>
      </c>
      <c r="D426" s="254" t="s">
        <v>91</v>
      </c>
      <c r="E426" s="254">
        <v>13340</v>
      </c>
      <c r="F426" s="254">
        <v>1</v>
      </c>
      <c r="G426" s="254">
        <f>ROUND(E426*F426,2)</f>
        <v>13340</v>
      </c>
      <c r="H426" s="254">
        <v>8.52</v>
      </c>
      <c r="I426" s="299">
        <f>H426/1.2</f>
        <v>7.1</v>
      </c>
      <c r="J426" s="254">
        <v>1.1140000000000001</v>
      </c>
      <c r="K426" s="299">
        <f>ROUND(I426*J426,2)</f>
        <v>7.91</v>
      </c>
      <c r="L426" s="301">
        <f>ROUND(K426*G426,2)</f>
        <v>105519.4</v>
      </c>
      <c r="M426" s="154">
        <f>ROUND(L426*0.2,2)</f>
        <v>21103.88</v>
      </c>
      <c r="N426" s="73">
        <f>ROUND(L426+M426,2)</f>
        <v>126623.28</v>
      </c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144">
        <v>183646.8</v>
      </c>
      <c r="Z426" s="77">
        <v>4659.95</v>
      </c>
      <c r="AA426" s="18">
        <v>14629.68</v>
      </c>
      <c r="AB426" s="22"/>
      <c r="AC426" s="22"/>
      <c r="AD426" s="22"/>
    </row>
    <row r="427" spans="1:30" s="20" customFormat="1" ht="38.25" hidden="1" x14ac:dyDescent="0.2">
      <c r="A427" s="335"/>
      <c r="B427" s="257"/>
      <c r="C427" s="219" t="s">
        <v>26</v>
      </c>
      <c r="D427" s="254"/>
      <c r="E427" s="254"/>
      <c r="F427" s="254"/>
      <c r="G427" s="254"/>
      <c r="H427" s="254"/>
      <c r="I427" s="299"/>
      <c r="J427" s="254"/>
      <c r="K427" s="299"/>
      <c r="L427" s="301"/>
      <c r="M427" s="154"/>
      <c r="N427" s="73"/>
      <c r="O427" s="528">
        <v>220508.66999999998</v>
      </c>
      <c r="P427" s="73"/>
      <c r="Q427" s="73"/>
      <c r="R427" s="73"/>
      <c r="S427" s="73"/>
      <c r="T427" s="73"/>
      <c r="U427" s="73"/>
      <c r="V427" s="73"/>
      <c r="W427" s="73"/>
      <c r="X427" s="73"/>
      <c r="Y427" s="64"/>
      <c r="Z427" s="77">
        <v>35530.490000000005</v>
      </c>
      <c r="AA427" s="18">
        <v>228735</v>
      </c>
      <c r="AB427" s="22"/>
      <c r="AC427" s="22"/>
      <c r="AD427" s="22"/>
    </row>
    <row r="428" spans="1:30" s="20" customFormat="1" ht="76.5" hidden="1" x14ac:dyDescent="0.2">
      <c r="A428" s="335"/>
      <c r="B428" s="235"/>
      <c r="C428" s="230" t="s">
        <v>27</v>
      </c>
      <c r="D428" s="243"/>
      <c r="E428" s="243"/>
      <c r="F428" s="243"/>
      <c r="G428" s="243"/>
      <c r="H428" s="254"/>
      <c r="I428" s="254"/>
      <c r="J428" s="254"/>
      <c r="K428" s="299"/>
      <c r="L428" s="301"/>
      <c r="M428" s="154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181">
        <f>SUM(N430:N433)</f>
        <v>50879.13</v>
      </c>
      <c r="Z428" s="181"/>
      <c r="AA428" s="181"/>
      <c r="AB428" s="22"/>
      <c r="AC428" s="22"/>
      <c r="AD428" s="22"/>
    </row>
    <row r="429" spans="1:30" s="20" customFormat="1" ht="12.75" hidden="1" x14ac:dyDescent="0.2">
      <c r="A429" s="335"/>
      <c r="B429" s="235"/>
      <c r="C429" s="230" t="s">
        <v>441</v>
      </c>
      <c r="D429" s="254"/>
      <c r="E429" s="254"/>
      <c r="F429" s="254"/>
      <c r="G429" s="254"/>
      <c r="H429" s="254"/>
      <c r="I429" s="254"/>
      <c r="J429" s="254"/>
      <c r="K429" s="299"/>
      <c r="L429" s="301"/>
      <c r="M429" s="154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64"/>
      <c r="Z429" s="77"/>
      <c r="AA429" s="18"/>
      <c r="AB429" s="22"/>
      <c r="AC429" s="22"/>
      <c r="AD429" s="22"/>
    </row>
    <row r="430" spans="1:30" s="20" customFormat="1" ht="76.5" hidden="1" x14ac:dyDescent="0.2">
      <c r="A430" s="335">
        <f>A426+1</f>
        <v>344</v>
      </c>
      <c r="B430" s="307" t="s">
        <v>211</v>
      </c>
      <c r="C430" s="302" t="s">
        <v>116</v>
      </c>
      <c r="D430" s="254" t="s">
        <v>118</v>
      </c>
      <c r="E430" s="254">
        <v>1.9530000000000001</v>
      </c>
      <c r="F430" s="254">
        <v>2</v>
      </c>
      <c r="G430" s="254">
        <f>ROUND(E430*F430,2)</f>
        <v>3.91</v>
      </c>
      <c r="H430" s="254"/>
      <c r="I430" s="299">
        <v>44.32</v>
      </c>
      <c r="J430" s="300">
        <v>1.9442999999999999</v>
      </c>
      <c r="K430" s="299">
        <f>ROUND(I430*J430,2)</f>
        <v>86.17</v>
      </c>
      <c r="L430" s="301">
        <f>ROUND(K430*G430,2)</f>
        <v>336.92</v>
      </c>
      <c r="M430" s="154">
        <f>ROUND(L430*0.2,2)</f>
        <v>67.38</v>
      </c>
      <c r="N430" s="73">
        <f>ROUND(L430+M430,2)</f>
        <v>404.3</v>
      </c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134">
        <v>48233.04</v>
      </c>
      <c r="Z430" s="77"/>
      <c r="AA430" s="18"/>
      <c r="AB430" s="22"/>
      <c r="AC430" s="22"/>
      <c r="AD430" s="22"/>
    </row>
    <row r="431" spans="1:30" s="20" customFormat="1" ht="76.5" hidden="1" x14ac:dyDescent="0.2">
      <c r="A431" s="335">
        <f>A430+1</f>
        <v>345</v>
      </c>
      <c r="B431" s="307" t="s">
        <v>134</v>
      </c>
      <c r="C431" s="302" t="s">
        <v>117</v>
      </c>
      <c r="D431" s="254" t="s">
        <v>432</v>
      </c>
      <c r="E431" s="254">
        <v>0.27</v>
      </c>
      <c r="F431" s="254">
        <v>3</v>
      </c>
      <c r="G431" s="254">
        <f>ROUND(E431*F431,2)</f>
        <v>0.81</v>
      </c>
      <c r="H431" s="254"/>
      <c r="I431" s="299">
        <v>4728.2</v>
      </c>
      <c r="J431" s="300">
        <v>1.9442999999999999</v>
      </c>
      <c r="K431" s="299">
        <f>ROUND(I431*J431,2)</f>
        <v>9193.0400000000009</v>
      </c>
      <c r="L431" s="301">
        <f>ROUND(K431*G431,2)</f>
        <v>7446.36</v>
      </c>
      <c r="M431" s="154">
        <f>ROUND(L431*0.2,2)</f>
        <v>1489.27</v>
      </c>
      <c r="N431" s="73">
        <f>ROUND(L431+M431,2)</f>
        <v>8935.6299999999992</v>
      </c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64"/>
      <c r="Z431" s="77">
        <v>277.72000000000003</v>
      </c>
      <c r="AA431" s="18">
        <v>277.45</v>
      </c>
      <c r="AB431" s="22"/>
      <c r="AC431" s="22"/>
      <c r="AD431" s="22"/>
    </row>
    <row r="432" spans="1:30" s="20" customFormat="1" ht="51" hidden="1" x14ac:dyDescent="0.2">
      <c r="A432" s="335">
        <f>A431+1</f>
        <v>346</v>
      </c>
      <c r="B432" s="257" t="s">
        <v>492</v>
      </c>
      <c r="C432" s="257" t="s">
        <v>493</v>
      </c>
      <c r="D432" s="254" t="s">
        <v>433</v>
      </c>
      <c r="E432" s="254">
        <v>200</v>
      </c>
      <c r="F432" s="254">
        <v>1</v>
      </c>
      <c r="G432" s="254">
        <f>ROUND(E432*F432,2)</f>
        <v>200</v>
      </c>
      <c r="H432" s="254"/>
      <c r="I432" s="299">
        <v>83.24</v>
      </c>
      <c r="J432" s="300">
        <v>1.9442999999999999</v>
      </c>
      <c r="K432" s="299">
        <f>ROUND(I432*J432,2)</f>
        <v>161.84</v>
      </c>
      <c r="L432" s="301">
        <f>ROUND(K432*G432,2)</f>
        <v>32368</v>
      </c>
      <c r="M432" s="154">
        <f>ROUND(L432*0.2,2)</f>
        <v>6473.6</v>
      </c>
      <c r="N432" s="73">
        <f>ROUND(L432+M432,2)</f>
        <v>38841.599999999999</v>
      </c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64"/>
      <c r="Z432" s="77">
        <v>6138.19</v>
      </c>
      <c r="AA432" s="18">
        <v>12264.4</v>
      </c>
      <c r="AB432" s="22"/>
      <c r="AC432" s="22"/>
      <c r="AD432" s="22"/>
    </row>
    <row r="433" spans="1:30" s="20" customFormat="1" ht="51" hidden="1" x14ac:dyDescent="0.2">
      <c r="A433" s="335">
        <f>A432+1</f>
        <v>347</v>
      </c>
      <c r="B433" s="257" t="s">
        <v>494</v>
      </c>
      <c r="C433" s="257" t="s">
        <v>471</v>
      </c>
      <c r="D433" s="254" t="s">
        <v>433</v>
      </c>
      <c r="E433" s="254">
        <v>200</v>
      </c>
      <c r="F433" s="254">
        <v>2</v>
      </c>
      <c r="G433" s="254">
        <f>ROUND(E433*F433,2)</f>
        <v>400</v>
      </c>
      <c r="H433" s="254"/>
      <c r="I433" s="299">
        <v>2.89</v>
      </c>
      <c r="J433" s="300">
        <v>1.9442999999999999</v>
      </c>
      <c r="K433" s="299">
        <f>ROUND(I433*J433,2)</f>
        <v>5.62</v>
      </c>
      <c r="L433" s="301">
        <f>ROUND(K433*G433,2)</f>
        <v>2248</v>
      </c>
      <c r="M433" s="154">
        <f>ROUND(L433*0.2,2)</f>
        <v>449.6</v>
      </c>
      <c r="N433" s="73">
        <f>ROUND(L433+M433,2)</f>
        <v>2697.6</v>
      </c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64"/>
      <c r="Z433" s="77"/>
      <c r="AA433" s="18"/>
      <c r="AB433" s="22"/>
      <c r="AC433" s="22"/>
      <c r="AD433" s="22"/>
    </row>
    <row r="434" spans="1:30" s="20" customFormat="1" ht="16.5" hidden="1" customHeight="1" x14ac:dyDescent="0.2">
      <c r="A434" s="335"/>
      <c r="B434" s="257"/>
      <c r="C434" s="219" t="s">
        <v>530</v>
      </c>
      <c r="D434" s="231"/>
      <c r="E434" s="254"/>
      <c r="F434" s="254"/>
      <c r="G434" s="254"/>
      <c r="H434" s="254"/>
      <c r="I434" s="299"/>
      <c r="J434" s="300"/>
      <c r="K434" s="299"/>
      <c r="L434" s="301"/>
      <c r="M434" s="154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181">
        <f>N435+N436</f>
        <v>16543.77</v>
      </c>
      <c r="Z434" s="77"/>
      <c r="AA434" s="18"/>
      <c r="AB434" s="22"/>
      <c r="AC434" s="22"/>
      <c r="AD434" s="22"/>
    </row>
    <row r="435" spans="1:30" s="20" customFormat="1" ht="63" hidden="1" customHeight="1" x14ac:dyDescent="0.2">
      <c r="A435" s="335">
        <f>A433+1</f>
        <v>348</v>
      </c>
      <c r="B435" s="257" t="s">
        <v>236</v>
      </c>
      <c r="C435" s="302" t="s">
        <v>119</v>
      </c>
      <c r="D435" s="254" t="s">
        <v>432</v>
      </c>
      <c r="E435" s="254">
        <v>0.27</v>
      </c>
      <c r="F435" s="254">
        <v>3</v>
      </c>
      <c r="G435" s="254">
        <f>ROUND(E435*F435,2)</f>
        <v>0.81</v>
      </c>
      <c r="H435" s="303"/>
      <c r="I435" s="299">
        <v>7314.22</v>
      </c>
      <c r="J435" s="300">
        <v>1.9442999999999999</v>
      </c>
      <c r="K435" s="299">
        <f>ROUND(I435*J435,2)</f>
        <v>14221.04</v>
      </c>
      <c r="L435" s="301">
        <f>ROUND(K435*G435,2)</f>
        <v>11519.04</v>
      </c>
      <c r="M435" s="154">
        <f>ROUND(L435*0.2,2)</f>
        <v>2303.81</v>
      </c>
      <c r="N435" s="73">
        <f>ROUND(L435+M435,2)</f>
        <v>13822.85</v>
      </c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136">
        <v>20911.57</v>
      </c>
      <c r="Z435" s="77"/>
      <c r="AA435" s="18"/>
      <c r="AB435" s="22"/>
      <c r="AC435" s="22"/>
      <c r="AD435" s="22"/>
    </row>
    <row r="436" spans="1:30" s="20" customFormat="1" ht="114.75" hidden="1" x14ac:dyDescent="0.2">
      <c r="A436" s="335">
        <f>A435+1</f>
        <v>349</v>
      </c>
      <c r="B436" s="257" t="s">
        <v>237</v>
      </c>
      <c r="C436" s="302" t="s">
        <v>120</v>
      </c>
      <c r="D436" s="254" t="s">
        <v>433</v>
      </c>
      <c r="E436" s="254">
        <v>195.3</v>
      </c>
      <c r="F436" s="254">
        <v>3</v>
      </c>
      <c r="G436" s="254">
        <f>ROUND(E436*F436,2)</f>
        <v>585.9</v>
      </c>
      <c r="H436" s="303"/>
      <c r="I436" s="299">
        <v>1.99</v>
      </c>
      <c r="J436" s="300">
        <v>1.9442999999999999</v>
      </c>
      <c r="K436" s="299">
        <f>ROUND(I436*J436,2)</f>
        <v>3.87</v>
      </c>
      <c r="L436" s="301">
        <f>ROUND(K436*G436,2)</f>
        <v>2267.4299999999998</v>
      </c>
      <c r="M436" s="154">
        <f>ROUND(L436*0.2,2)</f>
        <v>453.49</v>
      </c>
      <c r="N436" s="73">
        <f>ROUND(L436+M436,2)</f>
        <v>2720.92</v>
      </c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64"/>
      <c r="Z436" s="77"/>
      <c r="AA436" s="18"/>
      <c r="AB436" s="22"/>
      <c r="AC436" s="22"/>
      <c r="AD436" s="22"/>
    </row>
    <row r="437" spans="1:30" s="20" customFormat="1" ht="38.25" hidden="1" x14ac:dyDescent="0.2">
      <c r="A437" s="335"/>
      <c r="B437" s="307"/>
      <c r="C437" s="230" t="s">
        <v>442</v>
      </c>
      <c r="D437" s="309"/>
      <c r="E437" s="309"/>
      <c r="F437" s="309"/>
      <c r="G437" s="309"/>
      <c r="H437" s="309"/>
      <c r="I437" s="309"/>
      <c r="J437" s="300"/>
      <c r="K437" s="299"/>
      <c r="L437" s="301"/>
      <c r="M437" s="154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181">
        <f>SUM(N438:N444)</f>
        <v>83297.850000000006</v>
      </c>
      <c r="Z437" s="77"/>
      <c r="AA437" s="18"/>
      <c r="AB437" s="22"/>
      <c r="AC437" s="22"/>
      <c r="AD437" s="22"/>
    </row>
    <row r="438" spans="1:30" s="20" customFormat="1" ht="76.5" hidden="1" x14ac:dyDescent="0.2">
      <c r="A438" s="335">
        <f>A436+1</f>
        <v>350</v>
      </c>
      <c r="B438" s="307" t="s">
        <v>135</v>
      </c>
      <c r="C438" s="302" t="s">
        <v>144</v>
      </c>
      <c r="D438" s="254" t="s">
        <v>422</v>
      </c>
      <c r="E438" s="254">
        <v>3</v>
      </c>
      <c r="F438" s="254">
        <v>2</v>
      </c>
      <c r="G438" s="254">
        <f t="shared" ref="G438:G444" si="141">ROUND(E438*F438,2)</f>
        <v>6</v>
      </c>
      <c r="H438" s="254"/>
      <c r="I438" s="299">
        <v>964.56</v>
      </c>
      <c r="J438" s="300">
        <v>1.9442999999999999</v>
      </c>
      <c r="K438" s="299">
        <f t="shared" ref="K438:K444" si="142">ROUND(I438*J438,2)</f>
        <v>1875.39</v>
      </c>
      <c r="L438" s="301">
        <f t="shared" ref="L438:L444" si="143">ROUND(K438*G438,2)</f>
        <v>11252.34</v>
      </c>
      <c r="M438" s="154">
        <f t="shared" ref="M438:M444" si="144">ROUND(L438*0.2,2)</f>
        <v>2250.4699999999998</v>
      </c>
      <c r="N438" s="73">
        <f t="shared" ref="N438:N444" si="145">ROUND(L438+M438,2)</f>
        <v>13502.81</v>
      </c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64"/>
      <c r="Z438" s="77"/>
      <c r="AA438" s="18"/>
      <c r="AB438" s="22"/>
      <c r="AC438" s="22"/>
      <c r="AD438" s="22"/>
    </row>
    <row r="439" spans="1:30" s="20" customFormat="1" ht="63.75" hidden="1" x14ac:dyDescent="0.2">
      <c r="A439" s="335">
        <f t="shared" ref="A439:A444" si="146">A438+1</f>
        <v>351</v>
      </c>
      <c r="B439" s="310" t="s">
        <v>412</v>
      </c>
      <c r="C439" s="257" t="s">
        <v>121</v>
      </c>
      <c r="D439" s="254" t="s">
        <v>422</v>
      </c>
      <c r="E439" s="254">
        <v>2</v>
      </c>
      <c r="F439" s="254">
        <v>6</v>
      </c>
      <c r="G439" s="254">
        <f t="shared" si="141"/>
        <v>12</v>
      </c>
      <c r="H439" s="254"/>
      <c r="I439" s="299">
        <v>130.31</v>
      </c>
      <c r="J439" s="300">
        <v>9.86</v>
      </c>
      <c r="K439" s="299">
        <f t="shared" si="142"/>
        <v>1284.8599999999999</v>
      </c>
      <c r="L439" s="301">
        <f t="shared" si="143"/>
        <v>15418.32</v>
      </c>
      <c r="M439" s="154">
        <f t="shared" si="144"/>
        <v>3083.66</v>
      </c>
      <c r="N439" s="73">
        <f t="shared" si="145"/>
        <v>18501.98</v>
      </c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64"/>
      <c r="Z439" s="77">
        <v>9155.9500000000007</v>
      </c>
      <c r="AA439" s="18">
        <v>4573.5</v>
      </c>
      <c r="AB439" s="22"/>
      <c r="AC439" s="22"/>
      <c r="AD439" s="22"/>
    </row>
    <row r="440" spans="1:30" s="20" customFormat="1" ht="63.75" hidden="1" x14ac:dyDescent="0.2">
      <c r="A440" s="335">
        <f t="shared" si="146"/>
        <v>352</v>
      </c>
      <c r="B440" s="310" t="s">
        <v>413</v>
      </c>
      <c r="C440" s="257" t="s">
        <v>423</v>
      </c>
      <c r="D440" s="254" t="s">
        <v>422</v>
      </c>
      <c r="E440" s="254">
        <v>2</v>
      </c>
      <c r="F440" s="254">
        <v>6</v>
      </c>
      <c r="G440" s="254">
        <f t="shared" si="141"/>
        <v>12</v>
      </c>
      <c r="H440" s="254"/>
      <c r="I440" s="299">
        <v>18.62</v>
      </c>
      <c r="J440" s="300">
        <v>9.86</v>
      </c>
      <c r="K440" s="299">
        <f t="shared" si="142"/>
        <v>183.59</v>
      </c>
      <c r="L440" s="301">
        <f t="shared" si="143"/>
        <v>2203.08</v>
      </c>
      <c r="M440" s="154">
        <f t="shared" si="144"/>
        <v>440.62</v>
      </c>
      <c r="N440" s="73">
        <f t="shared" si="145"/>
        <v>2643.7</v>
      </c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64"/>
      <c r="Z440" s="77">
        <v>8953.6299999999992</v>
      </c>
      <c r="AA440" s="18">
        <v>26971.200000000001</v>
      </c>
      <c r="AB440" s="22"/>
      <c r="AC440" s="22"/>
      <c r="AD440" s="22"/>
    </row>
    <row r="441" spans="1:30" s="20" customFormat="1" ht="63.75" hidden="1" x14ac:dyDescent="0.2">
      <c r="A441" s="335">
        <f t="shared" si="146"/>
        <v>353</v>
      </c>
      <c r="B441" s="310" t="s">
        <v>414</v>
      </c>
      <c r="C441" s="257" t="s">
        <v>424</v>
      </c>
      <c r="D441" s="254" t="s">
        <v>422</v>
      </c>
      <c r="E441" s="254">
        <v>1</v>
      </c>
      <c r="F441" s="254">
        <v>2</v>
      </c>
      <c r="G441" s="254">
        <f t="shared" si="141"/>
        <v>2</v>
      </c>
      <c r="H441" s="254"/>
      <c r="I441" s="299">
        <v>161.86000000000001</v>
      </c>
      <c r="J441" s="300">
        <v>9.86</v>
      </c>
      <c r="K441" s="299">
        <f t="shared" si="142"/>
        <v>1595.94</v>
      </c>
      <c r="L441" s="301">
        <f t="shared" si="143"/>
        <v>3191.88</v>
      </c>
      <c r="M441" s="154">
        <f t="shared" si="144"/>
        <v>638.38</v>
      </c>
      <c r="N441" s="73">
        <f t="shared" si="145"/>
        <v>3830.26</v>
      </c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64"/>
      <c r="Z441" s="77">
        <v>1279.3700000000001</v>
      </c>
      <c r="AA441" s="18">
        <v>524.91999999999996</v>
      </c>
      <c r="AB441" s="22"/>
      <c r="AC441" s="22"/>
      <c r="AD441" s="22"/>
    </row>
    <row r="442" spans="1:30" s="20" customFormat="1" ht="63.75" hidden="1" x14ac:dyDescent="0.2">
      <c r="A442" s="335">
        <f t="shared" si="146"/>
        <v>354</v>
      </c>
      <c r="B442" s="310" t="s">
        <v>415</v>
      </c>
      <c r="C442" s="257" t="s">
        <v>122</v>
      </c>
      <c r="D442" s="254" t="s">
        <v>422</v>
      </c>
      <c r="E442" s="254">
        <v>1</v>
      </c>
      <c r="F442" s="254">
        <v>2</v>
      </c>
      <c r="G442" s="254">
        <f t="shared" si="141"/>
        <v>2</v>
      </c>
      <c r="H442" s="254"/>
      <c r="I442" s="299">
        <v>501.73</v>
      </c>
      <c r="J442" s="300">
        <v>9.86</v>
      </c>
      <c r="K442" s="299">
        <f t="shared" si="142"/>
        <v>4947.0600000000004</v>
      </c>
      <c r="L442" s="301">
        <f t="shared" si="143"/>
        <v>9894.1200000000008</v>
      </c>
      <c r="M442" s="154">
        <f t="shared" si="144"/>
        <v>1978.82</v>
      </c>
      <c r="N442" s="73">
        <f t="shared" si="145"/>
        <v>11872.94</v>
      </c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64"/>
      <c r="Z442" s="77">
        <v>1853.5800000000002</v>
      </c>
      <c r="AA442" s="18">
        <v>1325.04</v>
      </c>
      <c r="AB442" s="22"/>
      <c r="AC442" s="22"/>
      <c r="AD442" s="22"/>
    </row>
    <row r="443" spans="1:30" s="20" customFormat="1" ht="63.75" hidden="1" x14ac:dyDescent="0.2">
      <c r="A443" s="335">
        <f t="shared" si="146"/>
        <v>355</v>
      </c>
      <c r="B443" s="310" t="s">
        <v>416</v>
      </c>
      <c r="C443" s="257" t="s">
        <v>123</v>
      </c>
      <c r="D443" s="254" t="s">
        <v>422</v>
      </c>
      <c r="E443" s="254">
        <v>2</v>
      </c>
      <c r="F443" s="254">
        <v>6</v>
      </c>
      <c r="G443" s="254">
        <f t="shared" si="141"/>
        <v>12</v>
      </c>
      <c r="H443" s="254"/>
      <c r="I443" s="299">
        <v>135.63999999999999</v>
      </c>
      <c r="J443" s="300">
        <v>9.86</v>
      </c>
      <c r="K443" s="299">
        <f t="shared" si="142"/>
        <v>1337.41</v>
      </c>
      <c r="L443" s="301">
        <f t="shared" si="143"/>
        <v>16048.92</v>
      </c>
      <c r="M443" s="154">
        <f t="shared" si="144"/>
        <v>3209.78</v>
      </c>
      <c r="N443" s="73">
        <f t="shared" si="145"/>
        <v>19258.7</v>
      </c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64"/>
      <c r="Z443" s="77">
        <v>5745.67</v>
      </c>
      <c r="AA443" s="18">
        <v>9353.82</v>
      </c>
      <c r="AB443" s="22"/>
      <c r="AC443" s="22"/>
      <c r="AD443" s="22"/>
    </row>
    <row r="444" spans="1:30" s="20" customFormat="1" ht="55.5" hidden="1" customHeight="1" x14ac:dyDescent="0.2">
      <c r="A444" s="335">
        <f t="shared" si="146"/>
        <v>356</v>
      </c>
      <c r="B444" s="257" t="s">
        <v>341</v>
      </c>
      <c r="C444" s="302" t="s">
        <v>124</v>
      </c>
      <c r="D444" s="254" t="s">
        <v>91</v>
      </c>
      <c r="E444" s="254">
        <v>1442</v>
      </c>
      <c r="F444" s="254">
        <v>1</v>
      </c>
      <c r="G444" s="254">
        <f t="shared" si="141"/>
        <v>1442</v>
      </c>
      <c r="H444" s="254"/>
      <c r="I444" s="299">
        <v>7.1</v>
      </c>
      <c r="J444" s="254">
        <v>1.1140000000000001</v>
      </c>
      <c r="K444" s="299">
        <f t="shared" si="142"/>
        <v>7.91</v>
      </c>
      <c r="L444" s="301">
        <f t="shared" si="143"/>
        <v>11406.22</v>
      </c>
      <c r="M444" s="154">
        <f t="shared" si="144"/>
        <v>2281.2399999999998</v>
      </c>
      <c r="N444" s="73">
        <f t="shared" si="145"/>
        <v>13687.46</v>
      </c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144">
        <v>92813.099999999977</v>
      </c>
      <c r="Z444" s="77">
        <v>9319.9</v>
      </c>
      <c r="AA444" s="18">
        <v>9753.1200000000008</v>
      </c>
      <c r="AB444" s="22"/>
      <c r="AC444" s="22"/>
      <c r="AD444" s="22"/>
    </row>
    <row r="445" spans="1:30" s="20" customFormat="1" ht="101.25" hidden="1" customHeight="1" x14ac:dyDescent="0.2">
      <c r="A445" s="335"/>
      <c r="B445" s="307"/>
      <c r="C445" s="224" t="s">
        <v>28</v>
      </c>
      <c r="D445" s="227"/>
      <c r="E445" s="227"/>
      <c r="F445" s="227"/>
      <c r="G445" s="227"/>
      <c r="H445" s="227"/>
      <c r="I445" s="244"/>
      <c r="J445" s="254"/>
      <c r="K445" s="299"/>
      <c r="L445" s="301"/>
      <c r="M445" s="154"/>
      <c r="N445" s="250"/>
      <c r="O445" s="515"/>
      <c r="P445" s="515"/>
      <c r="Q445" s="515"/>
      <c r="R445" s="515"/>
      <c r="S445" s="515"/>
      <c r="T445" s="515"/>
      <c r="U445" s="515"/>
      <c r="V445" s="515"/>
      <c r="W445" s="515"/>
      <c r="X445" s="515"/>
      <c r="Z445" s="77">
        <v>4216.3899999999994</v>
      </c>
      <c r="AA445" s="18">
        <v>28345.200000000001</v>
      </c>
      <c r="AB445" s="22"/>
      <c r="AC445" s="22"/>
      <c r="AD445" s="22"/>
    </row>
    <row r="446" spans="1:30" s="20" customFormat="1" ht="12.75" hidden="1" x14ac:dyDescent="0.2">
      <c r="A446" s="335"/>
      <c r="B446" s="307"/>
      <c r="C446" s="224" t="s">
        <v>441</v>
      </c>
      <c r="D446" s="254"/>
      <c r="E446" s="254"/>
      <c r="F446" s="254"/>
      <c r="G446" s="254"/>
      <c r="H446" s="254"/>
      <c r="I446" s="254"/>
      <c r="J446" s="254"/>
      <c r="K446" s="299"/>
      <c r="L446" s="301"/>
      <c r="M446" s="154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186">
        <f>SUM(N447:N450)</f>
        <v>48865.85</v>
      </c>
      <c r="Z446" s="186">
        <v>25066.7</v>
      </c>
      <c r="AA446" s="186">
        <v>68696.25</v>
      </c>
      <c r="AB446" s="22"/>
      <c r="AC446" s="22"/>
      <c r="AD446" s="22"/>
    </row>
    <row r="447" spans="1:30" s="20" customFormat="1" ht="76.5" hidden="1" x14ac:dyDescent="0.2">
      <c r="A447" s="335">
        <f>1+A444</f>
        <v>357</v>
      </c>
      <c r="B447" s="307" t="s">
        <v>238</v>
      </c>
      <c r="C447" s="302" t="s">
        <v>116</v>
      </c>
      <c r="D447" s="254" t="s">
        <v>118</v>
      </c>
      <c r="E447" s="254">
        <v>1.827</v>
      </c>
      <c r="F447" s="254">
        <v>2</v>
      </c>
      <c r="G447" s="254">
        <f>ROUND(E447*F447,2)</f>
        <v>3.65</v>
      </c>
      <c r="H447" s="254"/>
      <c r="I447" s="299">
        <v>44.32</v>
      </c>
      <c r="J447" s="300">
        <v>1.9442999999999999</v>
      </c>
      <c r="K447" s="299">
        <f>ROUND(I447*J447,2)</f>
        <v>86.17</v>
      </c>
      <c r="L447" s="301">
        <f>ROUND(K447*G447,2)</f>
        <v>314.52</v>
      </c>
      <c r="M447" s="154">
        <f>ROUND(L447*0.2,2)</f>
        <v>62.9</v>
      </c>
      <c r="N447" s="73">
        <f>ROUND(L447+M447,2)</f>
        <v>377.42</v>
      </c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64"/>
      <c r="Z447" s="77"/>
      <c r="AA447" s="18"/>
      <c r="AB447" s="22"/>
      <c r="AC447" s="22"/>
      <c r="AD447" s="22"/>
    </row>
    <row r="448" spans="1:30" s="20" customFormat="1" ht="51" hidden="1" x14ac:dyDescent="0.2">
      <c r="A448" s="335">
        <f>A447+1</f>
        <v>358</v>
      </c>
      <c r="B448" s="307" t="s">
        <v>239</v>
      </c>
      <c r="C448" s="302" t="s">
        <v>117</v>
      </c>
      <c r="D448" s="254" t="s">
        <v>432</v>
      </c>
      <c r="E448" s="254">
        <v>0.317</v>
      </c>
      <c r="F448" s="254">
        <v>3</v>
      </c>
      <c r="G448" s="254">
        <f>ROUND(E448*F448,2)</f>
        <v>0.95</v>
      </c>
      <c r="H448" s="254"/>
      <c r="I448" s="299">
        <v>4728.2</v>
      </c>
      <c r="J448" s="300">
        <v>1.9442999999999999</v>
      </c>
      <c r="K448" s="299">
        <f>ROUND(I448*J448,2)</f>
        <v>9193.0400000000009</v>
      </c>
      <c r="L448" s="301">
        <f>ROUND(K448*G448,2)</f>
        <v>8733.39</v>
      </c>
      <c r="M448" s="154">
        <f>ROUND(L448*0.2,2)</f>
        <v>1746.68</v>
      </c>
      <c r="N448" s="73">
        <f>ROUND(L448+M448,2)</f>
        <v>10480.07</v>
      </c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64"/>
      <c r="Z448" s="77">
        <v>259.25</v>
      </c>
      <c r="AA448" s="18">
        <v>259</v>
      </c>
      <c r="AB448" s="22"/>
      <c r="AC448" s="22"/>
      <c r="AD448" s="22"/>
    </row>
    <row r="449" spans="1:30" s="20" customFormat="1" ht="51" hidden="1" x14ac:dyDescent="0.2">
      <c r="A449" s="335">
        <f>A448+1</f>
        <v>359</v>
      </c>
      <c r="B449" s="257" t="s">
        <v>492</v>
      </c>
      <c r="C449" s="257" t="s">
        <v>493</v>
      </c>
      <c r="D449" s="254" t="s">
        <v>433</v>
      </c>
      <c r="E449" s="254">
        <v>183</v>
      </c>
      <c r="F449" s="254">
        <v>1</v>
      </c>
      <c r="G449" s="254">
        <f>ROUND(E449*F449,2)</f>
        <v>183</v>
      </c>
      <c r="H449" s="254"/>
      <c r="I449" s="299">
        <v>83.24</v>
      </c>
      <c r="J449" s="300">
        <v>1.9442999999999999</v>
      </c>
      <c r="K449" s="299">
        <f>ROUND(I449*J449,2)</f>
        <v>161.84</v>
      </c>
      <c r="L449" s="301">
        <f>ROUND(K449*G449,2)</f>
        <v>29616.720000000001</v>
      </c>
      <c r="M449" s="154">
        <f>ROUND(L449*0.2,2)</f>
        <v>5923.34</v>
      </c>
      <c r="N449" s="73">
        <f>ROUND(L449+M449,2)</f>
        <v>35540.06</v>
      </c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64"/>
      <c r="Z449" s="77">
        <v>7199.1100000000006</v>
      </c>
      <c r="AA449" s="18">
        <v>14384.18</v>
      </c>
      <c r="AB449" s="22"/>
      <c r="AC449" s="22"/>
      <c r="AD449" s="22"/>
    </row>
    <row r="450" spans="1:30" s="20" customFormat="1" ht="51" hidden="1" x14ac:dyDescent="0.2">
      <c r="A450" s="335">
        <f>A449+1</f>
        <v>360</v>
      </c>
      <c r="B450" s="257" t="s">
        <v>494</v>
      </c>
      <c r="C450" s="257" t="s">
        <v>471</v>
      </c>
      <c r="D450" s="254" t="s">
        <v>433</v>
      </c>
      <c r="E450" s="254">
        <v>183</v>
      </c>
      <c r="F450" s="254">
        <v>2</v>
      </c>
      <c r="G450" s="254">
        <f>ROUND(E450*F450,2)</f>
        <v>366</v>
      </c>
      <c r="H450" s="254"/>
      <c r="I450" s="299">
        <v>2.89</v>
      </c>
      <c r="J450" s="300">
        <v>1.9442999999999999</v>
      </c>
      <c r="K450" s="299">
        <f>ROUND(I450*J450,2)</f>
        <v>5.62</v>
      </c>
      <c r="L450" s="301">
        <f>ROUND(K450*G450,2)</f>
        <v>2056.92</v>
      </c>
      <c r="M450" s="154">
        <f>ROUND(L450*0.2,2)</f>
        <v>411.38</v>
      </c>
      <c r="N450" s="73">
        <f>ROUND(L450+M450,2)</f>
        <v>2468.3000000000002</v>
      </c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134">
        <v>46324.35</v>
      </c>
      <c r="Z450" s="77"/>
      <c r="AA450" s="18"/>
      <c r="AB450" s="22"/>
      <c r="AC450" s="22"/>
      <c r="AD450" s="22"/>
    </row>
    <row r="451" spans="1:30" s="20" customFormat="1" ht="12.75" hidden="1" x14ac:dyDescent="0.2">
      <c r="A451" s="335"/>
      <c r="B451" s="257"/>
      <c r="C451" s="219" t="s">
        <v>12</v>
      </c>
      <c r="D451" s="231"/>
      <c r="E451" s="254"/>
      <c r="F451" s="254"/>
      <c r="G451" s="254"/>
      <c r="H451" s="254"/>
      <c r="I451" s="299"/>
      <c r="J451" s="300"/>
      <c r="K451" s="299"/>
      <c r="L451" s="301"/>
      <c r="M451" s="154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186">
        <f>N452+N453</f>
        <v>18757.37</v>
      </c>
      <c r="Z451" s="77"/>
      <c r="AA451" s="18"/>
      <c r="AB451" s="22"/>
      <c r="AC451" s="22"/>
      <c r="AD451" s="22"/>
    </row>
    <row r="452" spans="1:30" s="20" customFormat="1" ht="76.5" hidden="1" x14ac:dyDescent="0.2">
      <c r="A452" s="335">
        <f>A450+1</f>
        <v>361</v>
      </c>
      <c r="B452" s="257" t="s">
        <v>236</v>
      </c>
      <c r="C452" s="302" t="s">
        <v>119</v>
      </c>
      <c r="D452" s="254" t="s">
        <v>432</v>
      </c>
      <c r="E452" s="254">
        <v>0.317</v>
      </c>
      <c r="F452" s="254">
        <v>3</v>
      </c>
      <c r="G452" s="254">
        <f>ROUND(E452*F452,2)</f>
        <v>0.95</v>
      </c>
      <c r="H452" s="254"/>
      <c r="I452" s="299">
        <v>7314.22</v>
      </c>
      <c r="J452" s="300">
        <v>1.9442999999999999</v>
      </c>
      <c r="K452" s="299">
        <f>ROUND(I452*J452,2)</f>
        <v>14221.04</v>
      </c>
      <c r="L452" s="301">
        <f>ROUND(K452*G452,2)</f>
        <v>13509.99</v>
      </c>
      <c r="M452" s="154">
        <f>ROUND(L452*0.2,2)</f>
        <v>2702</v>
      </c>
      <c r="N452" s="73">
        <f>ROUND(L452+M452,2)</f>
        <v>16211.99</v>
      </c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136">
        <v>23763.25</v>
      </c>
      <c r="Z452" s="77"/>
      <c r="AA452" s="18"/>
      <c r="AB452" s="22"/>
      <c r="AC452" s="22"/>
      <c r="AD452" s="22"/>
    </row>
    <row r="453" spans="1:30" s="20" customFormat="1" ht="114.75" hidden="1" x14ac:dyDescent="0.2">
      <c r="A453" s="335">
        <f>A452+1</f>
        <v>362</v>
      </c>
      <c r="B453" s="257" t="s">
        <v>237</v>
      </c>
      <c r="C453" s="302" t="s">
        <v>120</v>
      </c>
      <c r="D453" s="254" t="s">
        <v>433</v>
      </c>
      <c r="E453" s="254">
        <v>182.7</v>
      </c>
      <c r="F453" s="254">
        <v>3</v>
      </c>
      <c r="G453" s="254">
        <f>ROUND(E453*F453,2)</f>
        <v>548.1</v>
      </c>
      <c r="H453" s="254"/>
      <c r="I453" s="299">
        <v>1.99</v>
      </c>
      <c r="J453" s="300">
        <v>1.9442999999999999</v>
      </c>
      <c r="K453" s="299">
        <f>ROUND(I453*J453,2)</f>
        <v>3.87</v>
      </c>
      <c r="L453" s="301">
        <f>ROUND(K453*G453,2)</f>
        <v>2121.15</v>
      </c>
      <c r="M453" s="154">
        <f>ROUND(L453*0.2,2)</f>
        <v>424.23</v>
      </c>
      <c r="N453" s="73">
        <f>ROUND(L453+M453,2)</f>
        <v>2545.38</v>
      </c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64"/>
      <c r="Z453" s="77"/>
      <c r="AA453" s="18"/>
      <c r="AB453" s="22"/>
      <c r="AC453" s="22"/>
      <c r="AD453" s="22"/>
    </row>
    <row r="454" spans="1:30" s="20" customFormat="1" ht="38.25" hidden="1" x14ac:dyDescent="0.2">
      <c r="A454" s="335"/>
      <c r="B454" s="307"/>
      <c r="C454" s="224" t="s">
        <v>442</v>
      </c>
      <c r="D454" s="254"/>
      <c r="E454" s="254"/>
      <c r="F454" s="254"/>
      <c r="G454" s="254"/>
      <c r="H454" s="254"/>
      <c r="I454" s="254"/>
      <c r="J454" s="300"/>
      <c r="K454" s="299"/>
      <c r="L454" s="301"/>
      <c r="M454" s="154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186">
        <f>SUM(N455:N461)</f>
        <v>83297.850000000006</v>
      </c>
      <c r="Z454" s="77"/>
      <c r="AA454" s="18"/>
      <c r="AB454" s="22"/>
      <c r="AC454" s="22"/>
      <c r="AD454" s="22"/>
    </row>
    <row r="455" spans="1:30" s="20" customFormat="1" ht="76.5" hidden="1" x14ac:dyDescent="0.2">
      <c r="A455" s="335">
        <f>A453+1</f>
        <v>363</v>
      </c>
      <c r="B455" s="307" t="s">
        <v>139</v>
      </c>
      <c r="C455" s="302" t="s">
        <v>144</v>
      </c>
      <c r="D455" s="254" t="s">
        <v>422</v>
      </c>
      <c r="E455" s="254">
        <v>3</v>
      </c>
      <c r="F455" s="254">
        <v>2</v>
      </c>
      <c r="G455" s="254">
        <f t="shared" ref="G455:G461" si="147">ROUND(E455*F455,2)</f>
        <v>6</v>
      </c>
      <c r="H455" s="254"/>
      <c r="I455" s="299">
        <v>964.56</v>
      </c>
      <c r="J455" s="300">
        <v>1.9442999999999999</v>
      </c>
      <c r="K455" s="299">
        <f t="shared" ref="K455:K461" si="148">ROUND(I455*J455,2)</f>
        <v>1875.39</v>
      </c>
      <c r="L455" s="301">
        <f t="shared" ref="L455:L461" si="149">ROUND(K455*G455,2)</f>
        <v>11252.34</v>
      </c>
      <c r="M455" s="154">
        <f t="shared" ref="M455:M461" si="150">ROUND(L455*0.2,2)</f>
        <v>2250.4699999999998</v>
      </c>
      <c r="N455" s="73">
        <f t="shared" ref="N455:N460" si="151">ROUND(L455+M455,2)</f>
        <v>13502.81</v>
      </c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64"/>
      <c r="Z455" s="77">
        <v>0</v>
      </c>
      <c r="AA455" s="18"/>
      <c r="AB455" s="22"/>
      <c r="AC455" s="22"/>
      <c r="AD455" s="22"/>
    </row>
    <row r="456" spans="1:30" s="20" customFormat="1" ht="63.75" hidden="1" x14ac:dyDescent="0.2">
      <c r="A456" s="335">
        <f t="shared" ref="A456:A461" si="152">A455+1</f>
        <v>364</v>
      </c>
      <c r="B456" s="310" t="s">
        <v>412</v>
      </c>
      <c r="C456" s="257" t="s">
        <v>121</v>
      </c>
      <c r="D456" s="254" t="s">
        <v>422</v>
      </c>
      <c r="E456" s="254">
        <v>2</v>
      </c>
      <c r="F456" s="254">
        <v>6</v>
      </c>
      <c r="G456" s="254">
        <f t="shared" si="147"/>
        <v>12</v>
      </c>
      <c r="H456" s="254"/>
      <c r="I456" s="299">
        <v>130.31</v>
      </c>
      <c r="J456" s="300">
        <v>9.86</v>
      </c>
      <c r="K456" s="299">
        <f t="shared" si="148"/>
        <v>1284.8599999999999</v>
      </c>
      <c r="L456" s="301">
        <f t="shared" si="149"/>
        <v>15418.32</v>
      </c>
      <c r="M456" s="154">
        <f t="shared" si="150"/>
        <v>3083.66</v>
      </c>
      <c r="N456" s="73">
        <f t="shared" si="151"/>
        <v>18501.98</v>
      </c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64"/>
      <c r="Z456" s="77">
        <v>9155.9500000000007</v>
      </c>
      <c r="AA456" s="18">
        <v>4573.5</v>
      </c>
      <c r="AB456" s="22"/>
      <c r="AC456" s="22"/>
      <c r="AD456" s="22"/>
    </row>
    <row r="457" spans="1:30" s="20" customFormat="1" ht="63.75" hidden="1" x14ac:dyDescent="0.2">
      <c r="A457" s="335">
        <f t="shared" si="152"/>
        <v>365</v>
      </c>
      <c r="B457" s="310" t="s">
        <v>413</v>
      </c>
      <c r="C457" s="257" t="s">
        <v>423</v>
      </c>
      <c r="D457" s="254" t="s">
        <v>422</v>
      </c>
      <c r="E457" s="254">
        <v>2</v>
      </c>
      <c r="F457" s="254">
        <v>6</v>
      </c>
      <c r="G457" s="254">
        <f t="shared" si="147"/>
        <v>12</v>
      </c>
      <c r="H457" s="254"/>
      <c r="I457" s="299">
        <v>18.62</v>
      </c>
      <c r="J457" s="300">
        <v>9.86</v>
      </c>
      <c r="K457" s="299">
        <f t="shared" si="148"/>
        <v>183.59</v>
      </c>
      <c r="L457" s="301">
        <f t="shared" si="149"/>
        <v>2203.08</v>
      </c>
      <c r="M457" s="154">
        <f t="shared" si="150"/>
        <v>440.62</v>
      </c>
      <c r="N457" s="73">
        <f t="shared" si="151"/>
        <v>2643.7</v>
      </c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64"/>
      <c r="Z457" s="77">
        <v>8953.6299999999992</v>
      </c>
      <c r="AA457" s="18">
        <v>26971.200000000001</v>
      </c>
      <c r="AB457" s="22"/>
      <c r="AC457" s="22"/>
      <c r="AD457" s="22"/>
    </row>
    <row r="458" spans="1:30" s="20" customFormat="1" ht="63.75" hidden="1" x14ac:dyDescent="0.2">
      <c r="A458" s="335">
        <f t="shared" si="152"/>
        <v>366</v>
      </c>
      <c r="B458" s="310" t="s">
        <v>414</v>
      </c>
      <c r="C458" s="257" t="s">
        <v>424</v>
      </c>
      <c r="D458" s="254" t="s">
        <v>422</v>
      </c>
      <c r="E458" s="254">
        <v>1</v>
      </c>
      <c r="F458" s="254">
        <v>2</v>
      </c>
      <c r="G458" s="254">
        <f t="shared" si="147"/>
        <v>2</v>
      </c>
      <c r="H458" s="254"/>
      <c r="I458" s="299">
        <v>161.86000000000001</v>
      </c>
      <c r="J458" s="300">
        <v>9.86</v>
      </c>
      <c r="K458" s="299">
        <f t="shared" si="148"/>
        <v>1595.94</v>
      </c>
      <c r="L458" s="301">
        <f t="shared" si="149"/>
        <v>3191.88</v>
      </c>
      <c r="M458" s="154">
        <f t="shared" si="150"/>
        <v>638.38</v>
      </c>
      <c r="N458" s="73">
        <f t="shared" si="151"/>
        <v>3830.26</v>
      </c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64"/>
      <c r="Z458" s="77">
        <v>1279.3700000000001</v>
      </c>
      <c r="AA458" s="18">
        <v>524.91999999999996</v>
      </c>
      <c r="AB458" s="22"/>
      <c r="AC458" s="22"/>
      <c r="AD458" s="22"/>
    </row>
    <row r="459" spans="1:30" s="20" customFormat="1" ht="63.75" hidden="1" x14ac:dyDescent="0.2">
      <c r="A459" s="335">
        <f t="shared" si="152"/>
        <v>367</v>
      </c>
      <c r="B459" s="310" t="s">
        <v>415</v>
      </c>
      <c r="C459" s="257" t="s">
        <v>122</v>
      </c>
      <c r="D459" s="254" t="s">
        <v>422</v>
      </c>
      <c r="E459" s="254">
        <v>1</v>
      </c>
      <c r="F459" s="254">
        <v>2</v>
      </c>
      <c r="G459" s="254">
        <f t="shared" si="147"/>
        <v>2</v>
      </c>
      <c r="H459" s="254"/>
      <c r="I459" s="299">
        <v>501.73</v>
      </c>
      <c r="J459" s="300">
        <v>9.86</v>
      </c>
      <c r="K459" s="299">
        <f t="shared" si="148"/>
        <v>4947.0600000000004</v>
      </c>
      <c r="L459" s="301">
        <f t="shared" si="149"/>
        <v>9894.1200000000008</v>
      </c>
      <c r="M459" s="154">
        <f t="shared" si="150"/>
        <v>1978.82</v>
      </c>
      <c r="N459" s="73">
        <f t="shared" si="151"/>
        <v>11872.94</v>
      </c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64"/>
      <c r="Z459" s="77">
        <v>1853.5800000000002</v>
      </c>
      <c r="AA459" s="18">
        <v>1325.04</v>
      </c>
      <c r="AB459" s="22"/>
      <c r="AC459" s="22"/>
      <c r="AD459" s="22"/>
    </row>
    <row r="460" spans="1:30" s="20" customFormat="1" ht="63.75" hidden="1" x14ac:dyDescent="0.2">
      <c r="A460" s="335">
        <f t="shared" si="152"/>
        <v>368</v>
      </c>
      <c r="B460" s="310" t="s">
        <v>416</v>
      </c>
      <c r="C460" s="257" t="s">
        <v>123</v>
      </c>
      <c r="D460" s="254" t="s">
        <v>422</v>
      </c>
      <c r="E460" s="254">
        <v>2</v>
      </c>
      <c r="F460" s="254">
        <v>6</v>
      </c>
      <c r="G460" s="254">
        <f t="shared" si="147"/>
        <v>12</v>
      </c>
      <c r="H460" s="254"/>
      <c r="I460" s="299">
        <v>135.63999999999999</v>
      </c>
      <c r="J460" s="300">
        <v>9.86</v>
      </c>
      <c r="K460" s="299">
        <f t="shared" si="148"/>
        <v>1337.41</v>
      </c>
      <c r="L460" s="301">
        <f t="shared" si="149"/>
        <v>16048.92</v>
      </c>
      <c r="M460" s="154">
        <f t="shared" si="150"/>
        <v>3209.78</v>
      </c>
      <c r="N460" s="73">
        <f t="shared" si="151"/>
        <v>19258.7</v>
      </c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64"/>
      <c r="Z460" s="77">
        <v>5745.67</v>
      </c>
      <c r="AA460" s="18">
        <v>9353.82</v>
      </c>
      <c r="AB460" s="22"/>
      <c r="AC460" s="22"/>
      <c r="AD460" s="22"/>
    </row>
    <row r="461" spans="1:30" s="20" customFormat="1" ht="79.5" hidden="1" customHeight="1" x14ac:dyDescent="0.2">
      <c r="A461" s="335">
        <f t="shared" si="152"/>
        <v>369</v>
      </c>
      <c r="B461" s="257" t="s">
        <v>341</v>
      </c>
      <c r="C461" s="302" t="s">
        <v>124</v>
      </c>
      <c r="D461" s="254" t="s">
        <v>91</v>
      </c>
      <c r="E461" s="254">
        <v>1442</v>
      </c>
      <c r="F461" s="254">
        <v>1</v>
      </c>
      <c r="G461" s="254">
        <f t="shared" si="147"/>
        <v>1442</v>
      </c>
      <c r="H461" s="254">
        <v>8.52</v>
      </c>
      <c r="I461" s="299">
        <f>H461/1.2</f>
        <v>7.1</v>
      </c>
      <c r="J461" s="254">
        <v>1.1140000000000001</v>
      </c>
      <c r="K461" s="299">
        <f t="shared" si="148"/>
        <v>7.91</v>
      </c>
      <c r="L461" s="301">
        <f t="shared" si="149"/>
        <v>11406.22</v>
      </c>
      <c r="M461" s="154">
        <f t="shared" si="150"/>
        <v>2281.2399999999998</v>
      </c>
      <c r="N461" s="73">
        <f t="shared" ref="N461:N529" si="153">ROUND(L461+M461,2)</f>
        <v>13687.46</v>
      </c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144">
        <v>92813.099999999977</v>
      </c>
      <c r="Z461" s="77">
        <v>6213.26</v>
      </c>
      <c r="AA461" s="18">
        <v>9753.1200000000008</v>
      </c>
      <c r="AB461" s="22"/>
      <c r="AC461" s="22"/>
      <c r="AD461" s="22"/>
    </row>
    <row r="462" spans="1:30" s="20" customFormat="1" ht="51" hidden="1" x14ac:dyDescent="0.2">
      <c r="A462" s="335"/>
      <c r="B462" s="307"/>
      <c r="C462" s="230" t="s">
        <v>29</v>
      </c>
      <c r="D462" s="243"/>
      <c r="E462" s="243"/>
      <c r="F462" s="243"/>
      <c r="G462" s="243"/>
      <c r="H462" s="254"/>
      <c r="I462" s="254"/>
      <c r="J462" s="254"/>
      <c r="K462" s="299"/>
      <c r="L462" s="301"/>
      <c r="M462" s="154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64"/>
      <c r="Z462" s="77">
        <v>4216.3899999999994</v>
      </c>
      <c r="AA462" s="18">
        <v>28345.200000000001</v>
      </c>
      <c r="AB462" s="22"/>
      <c r="AC462" s="22"/>
      <c r="AD462" s="22"/>
    </row>
    <row r="463" spans="1:30" s="20" customFormat="1" ht="12.75" hidden="1" x14ac:dyDescent="0.2">
      <c r="A463" s="335"/>
      <c r="B463" s="307"/>
      <c r="C463" s="230" t="s">
        <v>445</v>
      </c>
      <c r="D463" s="254"/>
      <c r="E463" s="254"/>
      <c r="F463" s="254"/>
      <c r="G463" s="254"/>
      <c r="H463" s="254"/>
      <c r="I463" s="254"/>
      <c r="J463" s="254"/>
      <c r="K463" s="299"/>
      <c r="L463" s="301"/>
      <c r="M463" s="154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186">
        <f>SUM(N464:N467)</f>
        <v>43923.350000000006</v>
      </c>
      <c r="Z463" s="186">
        <v>15742.119999999999</v>
      </c>
      <c r="AA463" s="186">
        <v>68696.25</v>
      </c>
      <c r="AB463" s="22"/>
      <c r="AC463" s="22"/>
      <c r="AD463" s="22"/>
    </row>
    <row r="464" spans="1:30" s="20" customFormat="1" ht="76.5" hidden="1" x14ac:dyDescent="0.2">
      <c r="A464" s="335">
        <f>A461+1</f>
        <v>370</v>
      </c>
      <c r="B464" s="307" t="s">
        <v>211</v>
      </c>
      <c r="C464" s="302" t="s">
        <v>116</v>
      </c>
      <c r="D464" s="254" t="s">
        <v>118</v>
      </c>
      <c r="E464" s="254">
        <v>1.806</v>
      </c>
      <c r="F464" s="254">
        <v>2</v>
      </c>
      <c r="G464" s="254">
        <f>ROUND(E464*F464,2)</f>
        <v>3.61</v>
      </c>
      <c r="H464" s="254"/>
      <c r="I464" s="299">
        <v>44.32</v>
      </c>
      <c r="J464" s="300">
        <v>1.9442999999999999</v>
      </c>
      <c r="K464" s="299">
        <f t="shared" ref="K464:K532" si="154">ROUND(I464*J464,2)</f>
        <v>86.17</v>
      </c>
      <c r="L464" s="301">
        <f t="shared" ref="L464:L477" si="155">ROUND(K464*G464,2)</f>
        <v>311.07</v>
      </c>
      <c r="M464" s="154">
        <f t="shared" ref="M464:M532" si="156">ROUND(L464*0.2,2)</f>
        <v>62.21</v>
      </c>
      <c r="N464" s="73">
        <f t="shared" si="153"/>
        <v>373.28</v>
      </c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64"/>
      <c r="Z464" s="77"/>
      <c r="AA464" s="18"/>
      <c r="AB464" s="22"/>
      <c r="AC464" s="22"/>
      <c r="AD464" s="22"/>
    </row>
    <row r="465" spans="1:30" s="20" customFormat="1" ht="76.5" hidden="1" x14ac:dyDescent="0.2">
      <c r="A465" s="335">
        <f>A464+1</f>
        <v>371</v>
      </c>
      <c r="B465" s="307" t="s">
        <v>134</v>
      </c>
      <c r="C465" s="302" t="s">
        <v>117</v>
      </c>
      <c r="D465" s="254" t="s">
        <v>432</v>
      </c>
      <c r="E465" s="254">
        <v>0.17899999999999999</v>
      </c>
      <c r="F465" s="254">
        <v>3</v>
      </c>
      <c r="G465" s="254">
        <f>ROUND(E465*F465,2)</f>
        <v>0.54</v>
      </c>
      <c r="H465" s="254"/>
      <c r="I465" s="299">
        <v>4728.2</v>
      </c>
      <c r="J465" s="300">
        <v>1.9442999999999999</v>
      </c>
      <c r="K465" s="299">
        <f t="shared" si="154"/>
        <v>9193.0400000000009</v>
      </c>
      <c r="L465" s="301">
        <f t="shared" si="155"/>
        <v>4964.24</v>
      </c>
      <c r="M465" s="154">
        <f t="shared" si="156"/>
        <v>992.85</v>
      </c>
      <c r="N465" s="73">
        <f t="shared" si="153"/>
        <v>5957.09</v>
      </c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64"/>
      <c r="Z465" s="77">
        <v>256.42</v>
      </c>
      <c r="AA465" s="18">
        <v>256.17</v>
      </c>
      <c r="AB465" s="22"/>
      <c r="AC465" s="22"/>
      <c r="AD465" s="22"/>
    </row>
    <row r="466" spans="1:30" s="20" customFormat="1" ht="51" hidden="1" x14ac:dyDescent="0.2">
      <c r="A466" s="335">
        <f>A465+1</f>
        <v>372</v>
      </c>
      <c r="B466" s="257" t="s">
        <v>492</v>
      </c>
      <c r="C466" s="257" t="s">
        <v>493</v>
      </c>
      <c r="D466" s="254" t="s">
        <v>433</v>
      </c>
      <c r="E466" s="254">
        <v>181</v>
      </c>
      <c r="F466" s="254">
        <v>1</v>
      </c>
      <c r="G466" s="254">
        <f>ROUND(E466*F466,2)</f>
        <v>181</v>
      </c>
      <c r="H466" s="254"/>
      <c r="I466" s="299">
        <v>83.24</v>
      </c>
      <c r="J466" s="300">
        <v>1.9442999999999999</v>
      </c>
      <c r="K466" s="299">
        <f>ROUND(I466*J466,2)</f>
        <v>161.84</v>
      </c>
      <c r="L466" s="301">
        <f>ROUND(K466*G466,2)</f>
        <v>29293.040000000001</v>
      </c>
      <c r="M466" s="154">
        <f>ROUND(L466*0.2,2)</f>
        <v>5858.61</v>
      </c>
      <c r="N466" s="73">
        <f>ROUND(L466+M466,2)</f>
        <v>35151.65</v>
      </c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64"/>
      <c r="Z466" s="77">
        <v>4092.13</v>
      </c>
      <c r="AA466" s="18">
        <v>8100.56</v>
      </c>
      <c r="AB466" s="22"/>
      <c r="AC466" s="22"/>
      <c r="AD466" s="22"/>
    </row>
    <row r="467" spans="1:30" s="20" customFormat="1" ht="51" hidden="1" x14ac:dyDescent="0.2">
      <c r="A467" s="335">
        <f>A466+1</f>
        <v>373</v>
      </c>
      <c r="B467" s="257" t="s">
        <v>494</v>
      </c>
      <c r="C467" s="257" t="s">
        <v>471</v>
      </c>
      <c r="D467" s="254" t="s">
        <v>433</v>
      </c>
      <c r="E467" s="254">
        <v>181</v>
      </c>
      <c r="F467" s="254">
        <v>2</v>
      </c>
      <c r="G467" s="254">
        <f>ROUND(E467*F467,2)</f>
        <v>362</v>
      </c>
      <c r="H467" s="254"/>
      <c r="I467" s="299">
        <v>2.89</v>
      </c>
      <c r="J467" s="300">
        <v>1.9442999999999999</v>
      </c>
      <c r="K467" s="299">
        <f>ROUND(I467*J467,2)</f>
        <v>5.62</v>
      </c>
      <c r="L467" s="301">
        <f>ROUND(K467*G467,2)</f>
        <v>2034.44</v>
      </c>
      <c r="M467" s="154">
        <f>ROUND(L467*0.2,2)</f>
        <v>406.89</v>
      </c>
      <c r="N467" s="73">
        <f>ROUND(L467+M467,2)</f>
        <v>2441.33</v>
      </c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134">
        <v>41639.079999999994</v>
      </c>
      <c r="Z467" s="77"/>
      <c r="AA467" s="18"/>
      <c r="AB467" s="22"/>
      <c r="AC467" s="22"/>
      <c r="AD467" s="22"/>
    </row>
    <row r="468" spans="1:30" s="20" customFormat="1" ht="26.25" hidden="1" customHeight="1" x14ac:dyDescent="0.2">
      <c r="A468" s="335"/>
      <c r="B468" s="257"/>
      <c r="C468" s="219" t="s">
        <v>530</v>
      </c>
      <c r="D468" s="231"/>
      <c r="E468" s="254"/>
      <c r="F468" s="254"/>
      <c r="G468" s="254"/>
      <c r="H468" s="254"/>
      <c r="I468" s="299"/>
      <c r="J468" s="300"/>
      <c r="K468" s="299"/>
      <c r="L468" s="301"/>
      <c r="M468" s="154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186">
        <f>N469+N470</f>
        <v>11806.58</v>
      </c>
      <c r="Z468" s="77"/>
      <c r="AA468" s="18"/>
      <c r="AB468" s="22"/>
      <c r="AC468" s="22"/>
      <c r="AD468" s="22"/>
    </row>
    <row r="469" spans="1:30" s="20" customFormat="1" ht="72" hidden="1" customHeight="1" x14ac:dyDescent="0.2">
      <c r="A469" s="335">
        <f>A467+1</f>
        <v>374</v>
      </c>
      <c r="B469" s="257" t="s">
        <v>236</v>
      </c>
      <c r="C469" s="302" t="s">
        <v>119</v>
      </c>
      <c r="D469" s="254" t="s">
        <v>432</v>
      </c>
      <c r="E469" s="254">
        <v>0.17899999999999999</v>
      </c>
      <c r="F469" s="254">
        <v>3</v>
      </c>
      <c r="G469" s="254">
        <f>ROUND(E469*F469,2)</f>
        <v>0.54</v>
      </c>
      <c r="H469" s="303"/>
      <c r="I469" s="299">
        <v>7314.22</v>
      </c>
      <c r="J469" s="300">
        <v>1.9442999999999999</v>
      </c>
      <c r="K469" s="299">
        <f>ROUND(I469*J469,2)</f>
        <v>14221.04</v>
      </c>
      <c r="L469" s="301">
        <f>ROUND(K469*G469,2)</f>
        <v>7679.36</v>
      </c>
      <c r="M469" s="154">
        <f>ROUND(L469*0.2,2)</f>
        <v>1535.87</v>
      </c>
      <c r="N469" s="73">
        <f>ROUND(L469+M469,2)</f>
        <v>9215.23</v>
      </c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64"/>
      <c r="Z469" s="77"/>
      <c r="AA469" s="18"/>
      <c r="AB469" s="22"/>
      <c r="AC469" s="22"/>
      <c r="AD469" s="22"/>
    </row>
    <row r="470" spans="1:30" s="20" customFormat="1" ht="114.75" hidden="1" x14ac:dyDescent="0.2">
      <c r="A470" s="335">
        <f>A469+1</f>
        <v>375</v>
      </c>
      <c r="B470" s="257" t="s">
        <v>237</v>
      </c>
      <c r="C470" s="302" t="s">
        <v>120</v>
      </c>
      <c r="D470" s="254" t="s">
        <v>433</v>
      </c>
      <c r="E470" s="254">
        <v>186</v>
      </c>
      <c r="F470" s="254">
        <v>3</v>
      </c>
      <c r="G470" s="254">
        <f>ROUND(E470*F470,2)</f>
        <v>558</v>
      </c>
      <c r="H470" s="303"/>
      <c r="I470" s="299">
        <v>1.99</v>
      </c>
      <c r="J470" s="300">
        <v>1.9442999999999999</v>
      </c>
      <c r="K470" s="299">
        <f>ROUND(I470*J470,2)</f>
        <v>3.87</v>
      </c>
      <c r="L470" s="301">
        <f>ROUND(K470*G470,2)</f>
        <v>2159.46</v>
      </c>
      <c r="M470" s="154">
        <f>ROUND(L470*0.2,2)</f>
        <v>431.89</v>
      </c>
      <c r="N470" s="73">
        <f>ROUND(L470+M470,2)</f>
        <v>2591.35</v>
      </c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145">
        <v>14924.02</v>
      </c>
      <c r="Z470" s="77"/>
      <c r="AA470" s="18"/>
      <c r="AB470" s="22"/>
      <c r="AC470" s="22"/>
      <c r="AD470" s="22"/>
    </row>
    <row r="471" spans="1:30" s="20" customFormat="1" ht="38.25" hidden="1" x14ac:dyDescent="0.2">
      <c r="A471" s="335"/>
      <c r="B471" s="307"/>
      <c r="C471" s="230" t="s">
        <v>442</v>
      </c>
      <c r="D471" s="254"/>
      <c r="E471" s="254"/>
      <c r="F471" s="254"/>
      <c r="G471" s="254"/>
      <c r="H471" s="254"/>
      <c r="I471" s="299"/>
      <c r="J471" s="300"/>
      <c r="K471" s="299"/>
      <c r="L471" s="301"/>
      <c r="M471" s="154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186">
        <f>SUM(N472:N478)</f>
        <v>81535.38</v>
      </c>
      <c r="Z471" s="77"/>
      <c r="AA471" s="18"/>
      <c r="AB471" s="22"/>
      <c r="AC471" s="22"/>
      <c r="AD471" s="22"/>
    </row>
    <row r="472" spans="1:30" s="20" customFormat="1" ht="76.5" hidden="1" x14ac:dyDescent="0.2">
      <c r="A472" s="335">
        <f>A470+1</f>
        <v>376</v>
      </c>
      <c r="B472" s="307" t="s">
        <v>135</v>
      </c>
      <c r="C472" s="302" t="s">
        <v>144</v>
      </c>
      <c r="D472" s="254" t="s">
        <v>422</v>
      </c>
      <c r="E472" s="254">
        <v>3</v>
      </c>
      <c r="F472" s="254">
        <v>2</v>
      </c>
      <c r="G472" s="254">
        <f t="shared" ref="G472:G477" si="157">ROUND(E472*F472,2)</f>
        <v>6</v>
      </c>
      <c r="H472" s="254"/>
      <c r="I472" s="299">
        <v>964.56</v>
      </c>
      <c r="J472" s="300">
        <v>1.9442999999999999</v>
      </c>
      <c r="K472" s="299">
        <f t="shared" si="154"/>
        <v>1875.39</v>
      </c>
      <c r="L472" s="301">
        <f t="shared" si="155"/>
        <v>11252.34</v>
      </c>
      <c r="M472" s="154">
        <f t="shared" si="156"/>
        <v>2250.4699999999998</v>
      </c>
      <c r="N472" s="73">
        <f t="shared" si="153"/>
        <v>13502.81</v>
      </c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64"/>
      <c r="Z472" s="77"/>
      <c r="AA472" s="18"/>
      <c r="AB472" s="22"/>
      <c r="AC472" s="22"/>
      <c r="AD472" s="22"/>
    </row>
    <row r="473" spans="1:30" s="20" customFormat="1" ht="63.75" hidden="1" x14ac:dyDescent="0.2">
      <c r="A473" s="335">
        <f t="shared" ref="A473:A478" si="158">A472+1</f>
        <v>377</v>
      </c>
      <c r="B473" s="310" t="s">
        <v>412</v>
      </c>
      <c r="C473" s="257" t="s">
        <v>121</v>
      </c>
      <c r="D473" s="254" t="s">
        <v>422</v>
      </c>
      <c r="E473" s="254">
        <v>2</v>
      </c>
      <c r="F473" s="254">
        <v>6</v>
      </c>
      <c r="G473" s="254">
        <f t="shared" si="157"/>
        <v>12</v>
      </c>
      <c r="H473" s="254"/>
      <c r="I473" s="299">
        <v>130.31</v>
      </c>
      <c r="J473" s="300">
        <v>9.86</v>
      </c>
      <c r="K473" s="299">
        <f t="shared" si="154"/>
        <v>1284.8599999999999</v>
      </c>
      <c r="L473" s="301">
        <f t="shared" si="155"/>
        <v>15418.32</v>
      </c>
      <c r="M473" s="154">
        <f t="shared" si="156"/>
        <v>3083.66</v>
      </c>
      <c r="N473" s="73">
        <f t="shared" si="153"/>
        <v>18501.98</v>
      </c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64"/>
      <c r="Z473" s="77">
        <v>9155.9500000000007</v>
      </c>
      <c r="AA473" s="18">
        <v>4573.5</v>
      </c>
      <c r="AB473" s="22"/>
      <c r="AC473" s="22"/>
      <c r="AD473" s="22"/>
    </row>
    <row r="474" spans="1:30" s="20" customFormat="1" ht="63.75" hidden="1" x14ac:dyDescent="0.2">
      <c r="A474" s="335">
        <f t="shared" si="158"/>
        <v>378</v>
      </c>
      <c r="B474" s="310" t="s">
        <v>413</v>
      </c>
      <c r="C474" s="257" t="s">
        <v>423</v>
      </c>
      <c r="D474" s="254" t="s">
        <v>422</v>
      </c>
      <c r="E474" s="254">
        <v>2</v>
      </c>
      <c r="F474" s="254">
        <v>2</v>
      </c>
      <c r="G474" s="254">
        <f t="shared" si="157"/>
        <v>4</v>
      </c>
      <c r="H474" s="254"/>
      <c r="I474" s="299">
        <v>18.62</v>
      </c>
      <c r="J474" s="300">
        <v>9.86</v>
      </c>
      <c r="K474" s="299">
        <f>ROUND(I474*J474,2)</f>
        <v>183.59</v>
      </c>
      <c r="L474" s="301">
        <f>ROUND(K474*G474,2)</f>
        <v>734.36</v>
      </c>
      <c r="M474" s="154">
        <f t="shared" si="156"/>
        <v>146.87</v>
      </c>
      <c r="N474" s="73">
        <f t="shared" si="153"/>
        <v>881.23</v>
      </c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64"/>
      <c r="Z474" s="77">
        <v>8953.6299999999992</v>
      </c>
      <c r="AA474" s="18">
        <v>26971.200000000001</v>
      </c>
      <c r="AB474" s="22"/>
      <c r="AC474" s="22"/>
      <c r="AD474" s="22"/>
    </row>
    <row r="475" spans="1:30" s="20" customFormat="1" ht="63.75" hidden="1" x14ac:dyDescent="0.2">
      <c r="A475" s="335">
        <f t="shared" si="158"/>
        <v>379</v>
      </c>
      <c r="B475" s="310" t="s">
        <v>414</v>
      </c>
      <c r="C475" s="257" t="s">
        <v>424</v>
      </c>
      <c r="D475" s="254" t="s">
        <v>422</v>
      </c>
      <c r="E475" s="254">
        <v>1</v>
      </c>
      <c r="F475" s="254">
        <v>2</v>
      </c>
      <c r="G475" s="254">
        <f t="shared" si="157"/>
        <v>2</v>
      </c>
      <c r="H475" s="254"/>
      <c r="I475" s="299">
        <v>161.86000000000001</v>
      </c>
      <c r="J475" s="300">
        <v>9.86</v>
      </c>
      <c r="K475" s="299">
        <f t="shared" si="154"/>
        <v>1595.94</v>
      </c>
      <c r="L475" s="301">
        <f t="shared" si="155"/>
        <v>3191.88</v>
      </c>
      <c r="M475" s="154">
        <f t="shared" si="156"/>
        <v>638.38</v>
      </c>
      <c r="N475" s="73">
        <f t="shared" si="153"/>
        <v>3830.26</v>
      </c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64"/>
      <c r="Z475" s="77">
        <v>1279.3700000000001</v>
      </c>
      <c r="AA475" s="18">
        <v>524.91999999999996</v>
      </c>
      <c r="AB475" s="22"/>
      <c r="AC475" s="22"/>
      <c r="AD475" s="22"/>
    </row>
    <row r="476" spans="1:30" s="20" customFormat="1" ht="63.75" hidden="1" x14ac:dyDescent="0.2">
      <c r="A476" s="335">
        <f t="shared" si="158"/>
        <v>380</v>
      </c>
      <c r="B476" s="310" t="s">
        <v>415</v>
      </c>
      <c r="C476" s="257" t="s">
        <v>122</v>
      </c>
      <c r="D476" s="254" t="s">
        <v>422</v>
      </c>
      <c r="E476" s="254">
        <v>1</v>
      </c>
      <c r="F476" s="254">
        <v>2</v>
      </c>
      <c r="G476" s="254">
        <f t="shared" si="157"/>
        <v>2</v>
      </c>
      <c r="H476" s="254"/>
      <c r="I476" s="299">
        <v>501.73</v>
      </c>
      <c r="J476" s="300">
        <v>9.86</v>
      </c>
      <c r="K476" s="299">
        <f t="shared" si="154"/>
        <v>4947.0600000000004</v>
      </c>
      <c r="L476" s="301">
        <f t="shared" si="155"/>
        <v>9894.1200000000008</v>
      </c>
      <c r="M476" s="154">
        <f t="shared" si="156"/>
        <v>1978.82</v>
      </c>
      <c r="N476" s="73">
        <f t="shared" si="153"/>
        <v>11872.94</v>
      </c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144">
        <v>92813.099999999977</v>
      </c>
      <c r="Z476" s="77">
        <v>1853.5800000000002</v>
      </c>
      <c r="AA476" s="18">
        <v>1325.04</v>
      </c>
      <c r="AB476" s="22"/>
      <c r="AC476" s="22"/>
      <c r="AD476" s="22"/>
    </row>
    <row r="477" spans="1:30" s="20" customFormat="1" ht="63.75" hidden="1" x14ac:dyDescent="0.2">
      <c r="A477" s="335">
        <f t="shared" si="158"/>
        <v>381</v>
      </c>
      <c r="B477" s="310" t="s">
        <v>416</v>
      </c>
      <c r="C477" s="257" t="s">
        <v>123</v>
      </c>
      <c r="D477" s="254" t="s">
        <v>422</v>
      </c>
      <c r="E477" s="254">
        <v>2</v>
      </c>
      <c r="F477" s="254">
        <v>6</v>
      </c>
      <c r="G477" s="254">
        <f t="shared" si="157"/>
        <v>12</v>
      </c>
      <c r="H477" s="254"/>
      <c r="I477" s="299">
        <v>135.63999999999999</v>
      </c>
      <c r="J477" s="300">
        <v>9.86</v>
      </c>
      <c r="K477" s="299">
        <f t="shared" si="154"/>
        <v>1337.41</v>
      </c>
      <c r="L477" s="301">
        <f t="shared" si="155"/>
        <v>16048.92</v>
      </c>
      <c r="M477" s="154">
        <f t="shared" si="156"/>
        <v>3209.78</v>
      </c>
      <c r="N477" s="73">
        <f t="shared" si="153"/>
        <v>19258.7</v>
      </c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64"/>
      <c r="Z477" s="77">
        <v>5745.67</v>
      </c>
      <c r="AA477" s="18">
        <v>9353.82</v>
      </c>
      <c r="AB477" s="22"/>
      <c r="AC477" s="22"/>
      <c r="AD477" s="22"/>
    </row>
    <row r="478" spans="1:30" s="20" customFormat="1" ht="68.25" hidden="1" customHeight="1" x14ac:dyDescent="0.2">
      <c r="A478" s="335">
        <f t="shared" si="158"/>
        <v>382</v>
      </c>
      <c r="B478" s="257" t="s">
        <v>341</v>
      </c>
      <c r="C478" s="302" t="s">
        <v>124</v>
      </c>
      <c r="D478" s="254" t="s">
        <v>91</v>
      </c>
      <c r="E478" s="254">
        <v>1442</v>
      </c>
      <c r="F478" s="254">
        <v>1</v>
      </c>
      <c r="G478" s="254">
        <f>ROUND(E478*F478,2)</f>
        <v>1442</v>
      </c>
      <c r="H478" s="254">
        <v>8.52</v>
      </c>
      <c r="I478" s="299">
        <f>H478/1.2</f>
        <v>7.1</v>
      </c>
      <c r="J478" s="254">
        <v>1.1140000000000001</v>
      </c>
      <c r="K478" s="299">
        <f t="shared" si="154"/>
        <v>7.91</v>
      </c>
      <c r="L478" s="301">
        <f>ROUND(K478*G478,2)</f>
        <v>11406.22</v>
      </c>
      <c r="M478" s="154">
        <f t="shared" si="156"/>
        <v>2281.2399999999998</v>
      </c>
      <c r="N478" s="73">
        <f t="shared" si="153"/>
        <v>13687.46</v>
      </c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64"/>
      <c r="Z478" s="77">
        <v>9319.9</v>
      </c>
      <c r="AA478" s="18">
        <v>9753.1200000000008</v>
      </c>
      <c r="AB478" s="22"/>
      <c r="AC478" s="22"/>
      <c r="AD478" s="22"/>
    </row>
    <row r="479" spans="1:30" s="20" customFormat="1" ht="25.5" hidden="1" x14ac:dyDescent="0.2">
      <c r="A479" s="335"/>
      <c r="B479" s="257"/>
      <c r="C479" s="66" t="s">
        <v>30</v>
      </c>
      <c r="D479" s="254"/>
      <c r="E479" s="254"/>
      <c r="F479" s="254"/>
      <c r="G479" s="254"/>
      <c r="H479" s="254"/>
      <c r="I479" s="299"/>
      <c r="J479" s="254"/>
      <c r="K479" s="299"/>
      <c r="L479" s="301"/>
      <c r="M479" s="154"/>
      <c r="N479" s="73"/>
      <c r="O479" s="529">
        <v>438907.13000000006</v>
      </c>
      <c r="P479" s="73"/>
      <c r="Q479" s="73"/>
      <c r="R479" s="73"/>
      <c r="S479" s="73"/>
      <c r="T479" s="73"/>
      <c r="U479" s="73"/>
      <c r="V479" s="73"/>
      <c r="W479" s="73"/>
      <c r="X479" s="73"/>
      <c r="Y479" s="186">
        <f>SUM(N481:N542)</f>
        <v>152430.43999999994</v>
      </c>
      <c r="Z479" s="77">
        <v>4216.3899999999994</v>
      </c>
      <c r="AA479" s="18">
        <v>28345.200000000001</v>
      </c>
      <c r="AB479" s="22"/>
      <c r="AC479" s="22"/>
      <c r="AD479" s="22"/>
    </row>
    <row r="480" spans="1:30" s="20" customFormat="1" ht="25.5" hidden="1" x14ac:dyDescent="0.2">
      <c r="A480" s="335"/>
      <c r="B480" s="307"/>
      <c r="C480" s="66" t="s">
        <v>31</v>
      </c>
      <c r="D480" s="231"/>
      <c r="E480" s="325"/>
      <c r="F480" s="325"/>
      <c r="G480" s="325"/>
      <c r="H480" s="325"/>
      <c r="I480" s="325"/>
      <c r="J480" s="325"/>
      <c r="K480" s="299"/>
      <c r="L480" s="301"/>
      <c r="M480" s="154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64"/>
      <c r="Z480" s="77"/>
      <c r="AA480" s="18"/>
      <c r="AB480" s="22"/>
      <c r="AC480" s="22"/>
      <c r="AD480" s="22"/>
    </row>
    <row r="481" spans="1:30" s="20" customFormat="1" ht="24.75" hidden="1" customHeight="1" x14ac:dyDescent="0.2">
      <c r="A481" s="335">
        <f>A478+1</f>
        <v>383</v>
      </c>
      <c r="B481" s="245" t="s">
        <v>353</v>
      </c>
      <c r="C481" s="302" t="s">
        <v>368</v>
      </c>
      <c r="D481" s="303" t="s">
        <v>354</v>
      </c>
      <c r="E481" s="254">
        <v>0.70199999999999996</v>
      </c>
      <c r="F481" s="254">
        <v>1</v>
      </c>
      <c r="G481" s="303">
        <f>E481*F481</f>
        <v>0.70199999999999996</v>
      </c>
      <c r="H481" s="359">
        <v>279.35000000000002</v>
      </c>
      <c r="I481" s="359">
        <f>H481/1.2</f>
        <v>232.79166666666669</v>
      </c>
      <c r="J481" s="254">
        <v>13.3248</v>
      </c>
      <c r="K481" s="299">
        <f t="shared" si="154"/>
        <v>3101.9</v>
      </c>
      <c r="L481" s="301">
        <f t="shared" ref="L481:L542" si="159">ROUND(K481*G481,2)</f>
        <v>2177.5300000000002</v>
      </c>
      <c r="M481" s="154">
        <f t="shared" si="156"/>
        <v>435.51</v>
      </c>
      <c r="N481" s="250">
        <f t="shared" si="153"/>
        <v>2613.04</v>
      </c>
      <c r="O481" s="515"/>
      <c r="P481" s="515"/>
      <c r="Q481" s="515"/>
      <c r="R481" s="515"/>
      <c r="S481" s="515"/>
      <c r="T481" s="515"/>
      <c r="U481" s="515"/>
      <c r="V481" s="515"/>
      <c r="W481" s="515"/>
      <c r="X481" s="515"/>
      <c r="Y481" s="120"/>
      <c r="Z481" s="77"/>
      <c r="AA481" s="18"/>
      <c r="AB481" s="22"/>
      <c r="AC481" s="22"/>
      <c r="AD481" s="22"/>
    </row>
    <row r="482" spans="1:30" s="44" customFormat="1" ht="29.25" hidden="1" customHeight="1" x14ac:dyDescent="0.2">
      <c r="A482" s="335">
        <f>A481+1</f>
        <v>384</v>
      </c>
      <c r="B482" s="245" t="s">
        <v>349</v>
      </c>
      <c r="C482" s="302" t="s">
        <v>356</v>
      </c>
      <c r="D482" s="330" t="s">
        <v>355</v>
      </c>
      <c r="E482" s="254">
        <v>4.5630000000000004E-2</v>
      </c>
      <c r="F482" s="254">
        <v>1</v>
      </c>
      <c r="G482" s="329">
        <f t="shared" ref="G482:G522" si="160">E482*F482</f>
        <v>4.5630000000000004E-2</v>
      </c>
      <c r="H482" s="359">
        <v>19696.099999999999</v>
      </c>
      <c r="I482" s="359">
        <f>H482/1.2</f>
        <v>16413.416666666668</v>
      </c>
      <c r="J482" s="254">
        <v>13.3248</v>
      </c>
      <c r="K482" s="299">
        <f t="shared" si="154"/>
        <v>218705.49</v>
      </c>
      <c r="L482" s="301">
        <f t="shared" si="159"/>
        <v>9979.5300000000007</v>
      </c>
      <c r="M482" s="154">
        <f t="shared" si="156"/>
        <v>1995.91</v>
      </c>
      <c r="N482" s="250">
        <f t="shared" si="153"/>
        <v>11975.44</v>
      </c>
      <c r="O482" s="515"/>
      <c r="P482" s="515"/>
      <c r="Q482" s="515"/>
      <c r="R482" s="515"/>
      <c r="S482" s="515"/>
      <c r="T482" s="515"/>
      <c r="U482" s="515"/>
      <c r="V482" s="515"/>
      <c r="W482" s="515"/>
      <c r="X482" s="515"/>
      <c r="Y482" s="120"/>
      <c r="Z482" s="102">
        <v>2529.0528058749996</v>
      </c>
      <c r="AA482" s="43">
        <v>4431.47</v>
      </c>
      <c r="AC482" s="45">
        <v>0.14000000000000001</v>
      </c>
      <c r="AD482" s="46" t="s">
        <v>371</v>
      </c>
    </row>
    <row r="483" spans="1:30" s="44" customFormat="1" ht="21.75" hidden="1" customHeight="1" x14ac:dyDescent="0.2">
      <c r="A483" s="335">
        <f t="shared" ref="A483:A522" si="161">A482+1</f>
        <v>385</v>
      </c>
      <c r="B483" s="245" t="s">
        <v>347</v>
      </c>
      <c r="C483" s="302" t="s">
        <v>357</v>
      </c>
      <c r="D483" s="303" t="s">
        <v>355</v>
      </c>
      <c r="E483" s="254">
        <v>1.755E-2</v>
      </c>
      <c r="F483" s="254">
        <v>1</v>
      </c>
      <c r="G483" s="303">
        <f t="shared" si="160"/>
        <v>1.755E-2</v>
      </c>
      <c r="H483" s="359">
        <v>437.82</v>
      </c>
      <c r="I483" s="359">
        <f t="shared" ref="I483:I542" si="162">H483/1.2</f>
        <v>364.85</v>
      </c>
      <c r="J483" s="254">
        <v>13.3248</v>
      </c>
      <c r="K483" s="299">
        <f t="shared" si="154"/>
        <v>4861.55</v>
      </c>
      <c r="L483" s="301">
        <f t="shared" si="159"/>
        <v>85.32</v>
      </c>
      <c r="M483" s="154">
        <f t="shared" si="156"/>
        <v>17.059999999999999</v>
      </c>
      <c r="N483" s="250">
        <f t="shared" si="153"/>
        <v>102.38</v>
      </c>
      <c r="O483" s="515"/>
      <c r="P483" s="515"/>
      <c r="Q483" s="515"/>
      <c r="R483" s="515"/>
      <c r="S483" s="515"/>
      <c r="T483" s="515"/>
      <c r="U483" s="515"/>
      <c r="V483" s="515"/>
      <c r="W483" s="515"/>
      <c r="X483" s="515"/>
      <c r="Y483" s="120"/>
      <c r="Z483" s="102">
        <v>11590.508907541251</v>
      </c>
      <c r="AA483" s="43">
        <v>20309.21</v>
      </c>
      <c r="AC483" s="47" t="s">
        <v>377</v>
      </c>
      <c r="AD483" s="46">
        <v>19696.099999999999</v>
      </c>
    </row>
    <row r="484" spans="1:30" s="44" customFormat="1" ht="43.5" hidden="1" customHeight="1" x14ac:dyDescent="0.2">
      <c r="A484" s="335">
        <f t="shared" si="161"/>
        <v>386</v>
      </c>
      <c r="B484" s="245" t="s">
        <v>353</v>
      </c>
      <c r="C484" s="302" t="s">
        <v>394</v>
      </c>
      <c r="D484" s="303" t="s">
        <v>354</v>
      </c>
      <c r="E484" s="254">
        <v>0.61199999999999999</v>
      </c>
      <c r="F484" s="254">
        <v>1</v>
      </c>
      <c r="G484" s="303">
        <f t="shared" si="160"/>
        <v>0.61199999999999999</v>
      </c>
      <c r="H484" s="359">
        <v>279.35000000000002</v>
      </c>
      <c r="I484" s="359">
        <f t="shared" si="162"/>
        <v>232.79166666666669</v>
      </c>
      <c r="J484" s="254">
        <v>13.3248</v>
      </c>
      <c r="K484" s="299">
        <f t="shared" si="154"/>
        <v>3101.9</v>
      </c>
      <c r="L484" s="301">
        <f t="shared" si="159"/>
        <v>1898.36</v>
      </c>
      <c r="M484" s="154">
        <f t="shared" si="156"/>
        <v>379.67</v>
      </c>
      <c r="N484" s="250">
        <f t="shared" si="153"/>
        <v>2278.0300000000002</v>
      </c>
      <c r="O484" s="515"/>
      <c r="P484" s="515"/>
      <c r="Q484" s="515"/>
      <c r="R484" s="515"/>
      <c r="S484" s="515"/>
      <c r="T484" s="515"/>
      <c r="U484" s="515"/>
      <c r="V484" s="515"/>
      <c r="W484" s="515"/>
      <c r="X484" s="515"/>
      <c r="Y484" s="120"/>
      <c r="Z484" s="102">
        <v>99.097804838749994</v>
      </c>
      <c r="AA484" s="43">
        <v>173.63</v>
      </c>
      <c r="AC484" s="45">
        <v>3.5000000000000003E-2</v>
      </c>
      <c r="AD484" s="46">
        <v>437.82</v>
      </c>
    </row>
    <row r="485" spans="1:30" s="44" customFormat="1" ht="178.5" hidden="1" x14ac:dyDescent="0.2">
      <c r="A485" s="335">
        <f t="shared" si="161"/>
        <v>387</v>
      </c>
      <c r="B485" s="245" t="s">
        <v>349</v>
      </c>
      <c r="C485" s="302" t="s">
        <v>356</v>
      </c>
      <c r="D485" s="330" t="s">
        <v>355</v>
      </c>
      <c r="E485" s="254">
        <v>3.6719999999999996E-2</v>
      </c>
      <c r="F485" s="254">
        <v>1</v>
      </c>
      <c r="G485" s="329">
        <f t="shared" si="160"/>
        <v>3.6719999999999996E-2</v>
      </c>
      <c r="H485" s="359">
        <v>19696.099999999999</v>
      </c>
      <c r="I485" s="359">
        <f t="shared" si="162"/>
        <v>16413.416666666668</v>
      </c>
      <c r="J485" s="254">
        <v>13.3248</v>
      </c>
      <c r="K485" s="299">
        <f t="shared" si="154"/>
        <v>218705.49</v>
      </c>
      <c r="L485" s="301">
        <f t="shared" si="159"/>
        <v>8030.87</v>
      </c>
      <c r="M485" s="154">
        <f t="shared" si="156"/>
        <v>1606.17</v>
      </c>
      <c r="N485" s="250">
        <f t="shared" si="153"/>
        <v>9637.0400000000009</v>
      </c>
      <c r="O485" s="515"/>
      <c r="P485" s="515"/>
      <c r="Q485" s="515"/>
      <c r="R485" s="515"/>
      <c r="S485" s="515"/>
      <c r="T485" s="515"/>
      <c r="U485" s="515"/>
      <c r="V485" s="515"/>
      <c r="W485" s="515"/>
      <c r="X485" s="515"/>
      <c r="Y485" s="120"/>
      <c r="Z485" s="102">
        <v>2204.8150102500003</v>
      </c>
      <c r="AA485" s="43">
        <v>3863.34</v>
      </c>
      <c r="AC485" s="45">
        <v>0.12</v>
      </c>
      <c r="AD485" s="46" t="s">
        <v>371</v>
      </c>
    </row>
    <row r="486" spans="1:30" s="44" customFormat="1" ht="178.5" hidden="1" x14ac:dyDescent="0.2">
      <c r="A486" s="335">
        <f t="shared" si="161"/>
        <v>388</v>
      </c>
      <c r="B486" s="245" t="s">
        <v>347</v>
      </c>
      <c r="C486" s="302" t="s">
        <v>357</v>
      </c>
      <c r="D486" s="303" t="s">
        <v>355</v>
      </c>
      <c r="E486" s="254">
        <v>1.5300000000000001E-2</v>
      </c>
      <c r="F486" s="254">
        <v>1</v>
      </c>
      <c r="G486" s="303">
        <f t="shared" si="160"/>
        <v>1.5300000000000001E-2</v>
      </c>
      <c r="H486" s="359">
        <v>437.82</v>
      </c>
      <c r="I486" s="359">
        <f t="shared" si="162"/>
        <v>364.85</v>
      </c>
      <c r="J486" s="254">
        <v>13.3248</v>
      </c>
      <c r="K486" s="299">
        <f t="shared" si="154"/>
        <v>4861.55</v>
      </c>
      <c r="L486" s="301">
        <f t="shared" si="159"/>
        <v>74.38</v>
      </c>
      <c r="M486" s="154">
        <f t="shared" si="156"/>
        <v>14.88</v>
      </c>
      <c r="N486" s="250">
        <f t="shared" si="153"/>
        <v>89.26</v>
      </c>
      <c r="O486" s="515"/>
      <c r="P486" s="515"/>
      <c r="Q486" s="515"/>
      <c r="R486" s="515"/>
      <c r="S486" s="515"/>
      <c r="T486" s="515"/>
      <c r="U486" s="515"/>
      <c r="V486" s="515"/>
      <c r="W486" s="515"/>
      <c r="X486" s="515"/>
      <c r="Y486" s="120"/>
      <c r="Z486" s="102">
        <v>9327.2790616899983</v>
      </c>
      <c r="AA486" s="43">
        <v>16343.51</v>
      </c>
      <c r="AC486" s="47" t="s">
        <v>378</v>
      </c>
      <c r="AD486" s="46">
        <v>19696.099999999999</v>
      </c>
    </row>
    <row r="487" spans="1:30" s="44" customFormat="1" ht="104.25" hidden="1" customHeight="1" x14ac:dyDescent="0.2">
      <c r="A487" s="335">
        <f t="shared" si="161"/>
        <v>389</v>
      </c>
      <c r="B487" s="245" t="s">
        <v>353</v>
      </c>
      <c r="C487" s="302" t="s">
        <v>407</v>
      </c>
      <c r="D487" s="303" t="s">
        <v>354</v>
      </c>
      <c r="E487" s="254">
        <v>0.26800000000000002</v>
      </c>
      <c r="F487" s="254">
        <v>1</v>
      </c>
      <c r="G487" s="303">
        <f t="shared" si="160"/>
        <v>0.26800000000000002</v>
      </c>
      <c r="H487" s="359">
        <v>279.35000000000002</v>
      </c>
      <c r="I487" s="359">
        <f t="shared" si="162"/>
        <v>232.79166666666669</v>
      </c>
      <c r="J487" s="254">
        <v>13.3248</v>
      </c>
      <c r="K487" s="299">
        <f t="shared" si="154"/>
        <v>3101.9</v>
      </c>
      <c r="L487" s="301">
        <f t="shared" si="159"/>
        <v>831.31</v>
      </c>
      <c r="M487" s="154">
        <f t="shared" si="156"/>
        <v>166.26</v>
      </c>
      <c r="N487" s="250">
        <f t="shared" si="153"/>
        <v>997.57</v>
      </c>
      <c r="O487" s="515"/>
      <c r="P487" s="515"/>
      <c r="Q487" s="515"/>
      <c r="R487" s="515"/>
      <c r="S487" s="515"/>
      <c r="T487" s="515"/>
      <c r="U487" s="515"/>
      <c r="V487" s="515"/>
      <c r="W487" s="515"/>
      <c r="X487" s="515"/>
      <c r="Y487" s="120"/>
      <c r="Z487" s="102">
        <v>86.390906782500011</v>
      </c>
      <c r="AA487" s="43">
        <v>151.37</v>
      </c>
      <c r="AC487" s="45">
        <v>3.1E-2</v>
      </c>
      <c r="AD487" s="46">
        <v>437.82</v>
      </c>
    </row>
    <row r="488" spans="1:30" s="44" customFormat="1" ht="178.5" hidden="1" x14ac:dyDescent="0.2">
      <c r="A488" s="335">
        <f t="shared" si="161"/>
        <v>390</v>
      </c>
      <c r="B488" s="245" t="s">
        <v>349</v>
      </c>
      <c r="C488" s="302" t="s">
        <v>356</v>
      </c>
      <c r="D488" s="330" t="s">
        <v>355</v>
      </c>
      <c r="E488" s="254">
        <v>5.2260000000000008E-2</v>
      </c>
      <c r="F488" s="254">
        <v>1</v>
      </c>
      <c r="G488" s="329">
        <f t="shared" si="160"/>
        <v>5.2260000000000008E-2</v>
      </c>
      <c r="H488" s="359">
        <v>19696.099999999999</v>
      </c>
      <c r="I488" s="359">
        <f t="shared" si="162"/>
        <v>16413.416666666668</v>
      </c>
      <c r="J488" s="254">
        <v>13.3248</v>
      </c>
      <c r="K488" s="299">
        <f t="shared" si="154"/>
        <v>218705.49</v>
      </c>
      <c r="L488" s="301">
        <f t="shared" si="159"/>
        <v>11429.55</v>
      </c>
      <c r="M488" s="154">
        <f t="shared" si="156"/>
        <v>2285.91</v>
      </c>
      <c r="N488" s="250">
        <f t="shared" si="153"/>
        <v>13715.46</v>
      </c>
      <c r="O488" s="515"/>
      <c r="P488" s="515"/>
      <c r="Q488" s="515"/>
      <c r="R488" s="515"/>
      <c r="S488" s="515"/>
      <c r="T488" s="515"/>
      <c r="U488" s="515"/>
      <c r="V488" s="515"/>
      <c r="W488" s="515"/>
      <c r="X488" s="515"/>
      <c r="Y488" s="120"/>
      <c r="Z488" s="102">
        <v>965.50899141666673</v>
      </c>
      <c r="AA488" s="43">
        <v>1691.79</v>
      </c>
      <c r="AC488" s="45">
        <v>0.6</v>
      </c>
      <c r="AD488" s="46" t="s">
        <v>371</v>
      </c>
    </row>
    <row r="489" spans="1:30" s="44" customFormat="1" ht="178.5" hidden="1" x14ac:dyDescent="0.2">
      <c r="A489" s="335">
        <f t="shared" si="161"/>
        <v>391</v>
      </c>
      <c r="B489" s="245" t="s">
        <v>347</v>
      </c>
      <c r="C489" s="302" t="s">
        <v>357</v>
      </c>
      <c r="D489" s="303" t="s">
        <v>355</v>
      </c>
      <c r="E489" s="254">
        <v>2.01E-2</v>
      </c>
      <c r="F489" s="254">
        <v>1</v>
      </c>
      <c r="G489" s="303">
        <f t="shared" si="160"/>
        <v>2.01E-2</v>
      </c>
      <c r="H489" s="359">
        <v>437.82</v>
      </c>
      <c r="I489" s="359">
        <f t="shared" si="162"/>
        <v>364.85</v>
      </c>
      <c r="J489" s="254">
        <v>13.3248</v>
      </c>
      <c r="K489" s="299">
        <f t="shared" si="154"/>
        <v>4861.55</v>
      </c>
      <c r="L489" s="301">
        <f t="shared" si="159"/>
        <v>97.72</v>
      </c>
      <c r="M489" s="154">
        <f t="shared" si="156"/>
        <v>19.54</v>
      </c>
      <c r="N489" s="250">
        <f t="shared" si="153"/>
        <v>117.26</v>
      </c>
      <c r="O489" s="515"/>
      <c r="P489" s="515"/>
      <c r="Q489" s="515"/>
      <c r="R489" s="515"/>
      <c r="S489" s="515"/>
      <c r="T489" s="515"/>
      <c r="U489" s="515"/>
      <c r="V489" s="515"/>
      <c r="W489" s="515"/>
      <c r="X489" s="515"/>
      <c r="Y489" s="120"/>
      <c r="Z489" s="102">
        <v>13274.598321457503</v>
      </c>
      <c r="AA489" s="43">
        <v>23260.12</v>
      </c>
      <c r="AC489" s="47" t="s">
        <v>379</v>
      </c>
      <c r="AD489" s="46">
        <v>19696.099999999999</v>
      </c>
    </row>
    <row r="490" spans="1:30" s="44" customFormat="1" ht="165.75" hidden="1" x14ac:dyDescent="0.2">
      <c r="A490" s="335">
        <f t="shared" si="161"/>
        <v>392</v>
      </c>
      <c r="B490" s="245" t="s">
        <v>348</v>
      </c>
      <c r="C490" s="302" t="s">
        <v>393</v>
      </c>
      <c r="D490" s="303" t="s">
        <v>354</v>
      </c>
      <c r="E490" s="254">
        <v>1.8819999999999999</v>
      </c>
      <c r="F490" s="254">
        <v>1</v>
      </c>
      <c r="G490" s="303">
        <f t="shared" si="160"/>
        <v>1.8819999999999999</v>
      </c>
      <c r="H490" s="359">
        <v>279.35000000000002</v>
      </c>
      <c r="I490" s="359">
        <f t="shared" si="162"/>
        <v>232.79166666666669</v>
      </c>
      <c r="J490" s="254">
        <v>13.3248</v>
      </c>
      <c r="K490" s="299">
        <f t="shared" si="154"/>
        <v>3101.9</v>
      </c>
      <c r="L490" s="301">
        <f t="shared" si="159"/>
        <v>5837.78</v>
      </c>
      <c r="M490" s="154">
        <f t="shared" si="156"/>
        <v>1167.56</v>
      </c>
      <c r="N490" s="250">
        <f t="shared" si="153"/>
        <v>7005.34</v>
      </c>
      <c r="O490" s="515"/>
      <c r="P490" s="515"/>
      <c r="Q490" s="515"/>
      <c r="R490" s="515"/>
      <c r="S490" s="515"/>
      <c r="T490" s="515"/>
      <c r="U490" s="515"/>
      <c r="V490" s="515"/>
      <c r="W490" s="515"/>
      <c r="X490" s="515"/>
      <c r="Y490" s="120"/>
      <c r="Z490" s="102">
        <v>113.4962893025</v>
      </c>
      <c r="AA490" s="43">
        <v>198.86</v>
      </c>
      <c r="AC490" s="45">
        <v>0.04</v>
      </c>
      <c r="AD490" s="46">
        <v>437.82</v>
      </c>
    </row>
    <row r="491" spans="1:30" s="44" customFormat="1" ht="178.5" hidden="1" x14ac:dyDescent="0.2">
      <c r="A491" s="335">
        <f t="shared" si="161"/>
        <v>393</v>
      </c>
      <c r="B491" s="245" t="s">
        <v>349</v>
      </c>
      <c r="C491" s="302" t="s">
        <v>358</v>
      </c>
      <c r="D491" s="330" t="s">
        <v>355</v>
      </c>
      <c r="E491" s="254">
        <v>3.0615000000000003E-2</v>
      </c>
      <c r="F491" s="254">
        <v>1</v>
      </c>
      <c r="G491" s="303">
        <f t="shared" si="160"/>
        <v>3.0615000000000003E-2</v>
      </c>
      <c r="H491" s="359">
        <v>19696.099999999999</v>
      </c>
      <c r="I491" s="359">
        <f t="shared" si="162"/>
        <v>16413.416666666668</v>
      </c>
      <c r="J491" s="254">
        <v>13.3248</v>
      </c>
      <c r="K491" s="299">
        <f t="shared" si="154"/>
        <v>218705.49</v>
      </c>
      <c r="L491" s="301">
        <f t="shared" si="159"/>
        <v>6695.67</v>
      </c>
      <c r="M491" s="154">
        <f t="shared" si="156"/>
        <v>1339.13</v>
      </c>
      <c r="N491" s="250">
        <f t="shared" si="153"/>
        <v>8034.8</v>
      </c>
      <c r="O491" s="515"/>
      <c r="P491" s="515"/>
      <c r="Q491" s="515"/>
      <c r="R491" s="515"/>
      <c r="S491" s="515"/>
      <c r="T491" s="515"/>
      <c r="U491" s="515"/>
      <c r="V491" s="515"/>
      <c r="W491" s="515"/>
      <c r="X491" s="515"/>
      <c r="Y491" s="120"/>
      <c r="Z491" s="102">
        <v>6780.1661262916659</v>
      </c>
      <c r="AA491" s="43">
        <v>11880.39</v>
      </c>
      <c r="AC491" s="45">
        <v>3.8</v>
      </c>
      <c r="AD491" s="46" t="s">
        <v>371</v>
      </c>
    </row>
    <row r="492" spans="1:30" s="44" customFormat="1" ht="178.5" hidden="1" x14ac:dyDescent="0.2">
      <c r="A492" s="335">
        <f t="shared" si="161"/>
        <v>394</v>
      </c>
      <c r="B492" s="245" t="s">
        <v>347</v>
      </c>
      <c r="C492" s="302" t="s">
        <v>359</v>
      </c>
      <c r="D492" s="303" t="s">
        <v>355</v>
      </c>
      <c r="E492" s="254">
        <v>1.1775000000000001E-2</v>
      </c>
      <c r="F492" s="254">
        <v>1</v>
      </c>
      <c r="G492" s="303">
        <f t="shared" si="160"/>
        <v>1.1775000000000001E-2</v>
      </c>
      <c r="H492" s="359">
        <v>437.82</v>
      </c>
      <c r="I492" s="359">
        <f t="shared" si="162"/>
        <v>364.85</v>
      </c>
      <c r="J492" s="254">
        <v>13.3248</v>
      </c>
      <c r="K492" s="299">
        <f t="shared" si="154"/>
        <v>4861.55</v>
      </c>
      <c r="L492" s="301">
        <f t="shared" si="159"/>
        <v>57.24</v>
      </c>
      <c r="M492" s="154">
        <f t="shared" si="156"/>
        <v>11.45</v>
      </c>
      <c r="N492" s="250">
        <f t="shared" si="153"/>
        <v>68.69</v>
      </c>
      <c r="O492" s="515"/>
      <c r="P492" s="515"/>
      <c r="Q492" s="515"/>
      <c r="R492" s="515"/>
      <c r="S492" s="515"/>
      <c r="T492" s="515"/>
      <c r="U492" s="515"/>
      <c r="V492" s="515"/>
      <c r="W492" s="515"/>
      <c r="X492" s="515"/>
      <c r="Y492" s="120"/>
      <c r="Z492" s="102">
        <v>7776.5393524956262</v>
      </c>
      <c r="AA492" s="43">
        <v>13626.26</v>
      </c>
      <c r="AC492" s="47" t="s">
        <v>380</v>
      </c>
      <c r="AD492" s="46">
        <v>19696.099999999999</v>
      </c>
    </row>
    <row r="493" spans="1:30" s="44" customFormat="1" ht="83.25" hidden="1" customHeight="1" x14ac:dyDescent="0.2">
      <c r="A493" s="335">
        <f t="shared" si="161"/>
        <v>395</v>
      </c>
      <c r="B493" s="245" t="s">
        <v>350</v>
      </c>
      <c r="C493" s="302" t="s">
        <v>362</v>
      </c>
      <c r="D493" s="303" t="s">
        <v>354</v>
      </c>
      <c r="E493" s="360">
        <v>0.75</v>
      </c>
      <c r="F493" s="254">
        <v>1</v>
      </c>
      <c r="G493" s="303">
        <f t="shared" si="160"/>
        <v>0.75</v>
      </c>
      <c r="H493" s="359">
        <v>279.35000000000002</v>
      </c>
      <c r="I493" s="359">
        <f t="shared" si="162"/>
        <v>232.79166666666669</v>
      </c>
      <c r="J493" s="254">
        <v>13.3248</v>
      </c>
      <c r="K493" s="299">
        <f t="shared" si="154"/>
        <v>3101.9</v>
      </c>
      <c r="L493" s="301">
        <f t="shared" si="159"/>
        <v>2326.4299999999998</v>
      </c>
      <c r="M493" s="154">
        <f t="shared" si="156"/>
        <v>465.29</v>
      </c>
      <c r="N493" s="250">
        <f t="shared" si="153"/>
        <v>2791.72</v>
      </c>
      <c r="O493" s="515"/>
      <c r="P493" s="515"/>
      <c r="Q493" s="515"/>
      <c r="R493" s="515"/>
      <c r="S493" s="515"/>
      <c r="T493" s="515"/>
      <c r="U493" s="515"/>
      <c r="V493" s="515"/>
      <c r="W493" s="515"/>
      <c r="X493" s="515"/>
      <c r="Y493" s="120"/>
      <c r="Z493" s="102">
        <v>66.484766494375009</v>
      </c>
      <c r="AA493" s="43">
        <v>116.5</v>
      </c>
      <c r="AC493" s="45">
        <v>2.4E-2</v>
      </c>
      <c r="AD493" s="46">
        <v>437.82</v>
      </c>
    </row>
    <row r="494" spans="1:30" s="44" customFormat="1" ht="178.5" hidden="1" x14ac:dyDescent="0.2">
      <c r="A494" s="335">
        <f t="shared" si="161"/>
        <v>396</v>
      </c>
      <c r="B494" s="245" t="s">
        <v>349</v>
      </c>
      <c r="C494" s="302" t="s">
        <v>356</v>
      </c>
      <c r="D494" s="330" t="s">
        <v>355</v>
      </c>
      <c r="E494" s="254">
        <v>3.6594999999999996E-2</v>
      </c>
      <c r="F494" s="254">
        <v>1</v>
      </c>
      <c r="G494" s="329">
        <f t="shared" si="160"/>
        <v>3.6594999999999996E-2</v>
      </c>
      <c r="H494" s="359">
        <v>19696.099999999999</v>
      </c>
      <c r="I494" s="359">
        <f t="shared" si="162"/>
        <v>16413.416666666668</v>
      </c>
      <c r="J494" s="254">
        <v>13.3248</v>
      </c>
      <c r="K494" s="299">
        <f t="shared" si="154"/>
        <v>218705.49</v>
      </c>
      <c r="L494" s="301">
        <f t="shared" si="159"/>
        <v>8003.53</v>
      </c>
      <c r="M494" s="154">
        <f t="shared" si="156"/>
        <v>1600.71</v>
      </c>
      <c r="N494" s="250">
        <f t="shared" si="153"/>
        <v>9604.24</v>
      </c>
      <c r="O494" s="515"/>
      <c r="P494" s="515"/>
      <c r="Q494" s="515"/>
      <c r="R494" s="515"/>
      <c r="S494" s="515"/>
      <c r="T494" s="515"/>
      <c r="U494" s="515"/>
      <c r="V494" s="515"/>
      <c r="W494" s="515"/>
      <c r="X494" s="515"/>
      <c r="Y494" s="120"/>
      <c r="Z494" s="102">
        <v>2701.9782968750001</v>
      </c>
      <c r="AA494" s="43">
        <v>4734.4799999999996</v>
      </c>
      <c r="AC494" s="45">
        <v>1.6</v>
      </c>
      <c r="AD494" s="46" t="s">
        <v>371</v>
      </c>
    </row>
    <row r="495" spans="1:30" s="44" customFormat="1" ht="178.5" hidden="1" x14ac:dyDescent="0.2">
      <c r="A495" s="335">
        <f t="shared" si="161"/>
        <v>397</v>
      </c>
      <c r="B495" s="245" t="s">
        <v>347</v>
      </c>
      <c r="C495" s="302" t="s">
        <v>359</v>
      </c>
      <c r="D495" s="303" t="s">
        <v>355</v>
      </c>
      <c r="E495" s="254">
        <v>1.4074999999999999E-2</v>
      </c>
      <c r="F495" s="254">
        <v>1</v>
      </c>
      <c r="G495" s="329">
        <f t="shared" si="160"/>
        <v>1.4074999999999999E-2</v>
      </c>
      <c r="H495" s="359">
        <v>437.82</v>
      </c>
      <c r="I495" s="359">
        <f t="shared" si="162"/>
        <v>364.85</v>
      </c>
      <c r="J495" s="254">
        <v>13.3248</v>
      </c>
      <c r="K495" s="299">
        <f t="shared" si="154"/>
        <v>4861.55</v>
      </c>
      <c r="L495" s="301">
        <f t="shared" si="159"/>
        <v>68.430000000000007</v>
      </c>
      <c r="M495" s="154">
        <f t="shared" si="156"/>
        <v>13.69</v>
      </c>
      <c r="N495" s="250">
        <f t="shared" si="153"/>
        <v>82.12</v>
      </c>
      <c r="O495" s="515"/>
      <c r="P495" s="515"/>
      <c r="Q495" s="515"/>
      <c r="R495" s="515"/>
      <c r="S495" s="515"/>
      <c r="T495" s="515"/>
      <c r="U495" s="515"/>
      <c r="V495" s="515"/>
      <c r="W495" s="515"/>
      <c r="X495" s="515"/>
      <c r="Y495" s="120"/>
      <c r="Z495" s="102">
        <v>9295.5196081847898</v>
      </c>
      <c r="AA495" s="43">
        <v>16287.87</v>
      </c>
      <c r="AC495" s="47" t="s">
        <v>381</v>
      </c>
      <c r="AD495" s="46">
        <v>19696.099999999999</v>
      </c>
    </row>
    <row r="496" spans="1:30" s="44" customFormat="1" ht="165.75" hidden="1" x14ac:dyDescent="0.2">
      <c r="A496" s="335">
        <f t="shared" si="161"/>
        <v>398</v>
      </c>
      <c r="B496" s="245" t="s">
        <v>351</v>
      </c>
      <c r="C496" s="302" t="s">
        <v>360</v>
      </c>
      <c r="D496" s="303" t="s">
        <v>354</v>
      </c>
      <c r="E496" s="254">
        <v>0.182</v>
      </c>
      <c r="F496" s="254">
        <v>1</v>
      </c>
      <c r="G496" s="303">
        <f t="shared" si="160"/>
        <v>0.182</v>
      </c>
      <c r="H496" s="359">
        <v>279.35000000000002</v>
      </c>
      <c r="I496" s="359">
        <f t="shared" si="162"/>
        <v>232.79166666666669</v>
      </c>
      <c r="J496" s="254">
        <v>13.3248</v>
      </c>
      <c r="K496" s="299">
        <f t="shared" si="154"/>
        <v>3101.9</v>
      </c>
      <c r="L496" s="301">
        <f t="shared" si="159"/>
        <v>564.54999999999995</v>
      </c>
      <c r="M496" s="154">
        <f t="shared" si="156"/>
        <v>112.91</v>
      </c>
      <c r="N496" s="250">
        <f t="shared" si="153"/>
        <v>677.46</v>
      </c>
      <c r="O496" s="515"/>
      <c r="P496" s="515"/>
      <c r="Q496" s="515"/>
      <c r="R496" s="515"/>
      <c r="S496" s="515"/>
      <c r="T496" s="515"/>
      <c r="U496" s="515"/>
      <c r="V496" s="515"/>
      <c r="W496" s="515"/>
      <c r="X496" s="515"/>
      <c r="Y496" s="120"/>
      <c r="Z496" s="102">
        <v>79.476928951874996</v>
      </c>
      <c r="AA496" s="43">
        <v>139.25</v>
      </c>
      <c r="AC496" s="45">
        <v>2.8000000000000001E-2</v>
      </c>
      <c r="AD496" s="46">
        <v>437.82</v>
      </c>
    </row>
    <row r="497" spans="1:30" s="44" customFormat="1" ht="178.5" hidden="1" x14ac:dyDescent="0.2">
      <c r="A497" s="335">
        <f t="shared" si="161"/>
        <v>399</v>
      </c>
      <c r="B497" s="245" t="s">
        <v>349</v>
      </c>
      <c r="C497" s="302" t="s">
        <v>356</v>
      </c>
      <c r="D497" s="330" t="s">
        <v>355</v>
      </c>
      <c r="E497" s="254">
        <v>5.9150000000000001E-3</v>
      </c>
      <c r="F497" s="254">
        <v>1</v>
      </c>
      <c r="G497" s="329">
        <f t="shared" si="160"/>
        <v>5.9150000000000001E-3</v>
      </c>
      <c r="H497" s="359">
        <v>19696.099999999999</v>
      </c>
      <c r="I497" s="359">
        <f t="shared" si="162"/>
        <v>16413.416666666668</v>
      </c>
      <c r="J497" s="254">
        <v>13.3248</v>
      </c>
      <c r="K497" s="299">
        <f t="shared" si="154"/>
        <v>218705.49</v>
      </c>
      <c r="L497" s="301">
        <f t="shared" si="159"/>
        <v>1293.6400000000001</v>
      </c>
      <c r="M497" s="154">
        <f t="shared" si="156"/>
        <v>258.73</v>
      </c>
      <c r="N497" s="250">
        <f t="shared" si="153"/>
        <v>1552.37</v>
      </c>
      <c r="O497" s="515"/>
      <c r="P497" s="515"/>
      <c r="Q497" s="515"/>
      <c r="R497" s="515"/>
      <c r="S497" s="515"/>
      <c r="T497" s="515"/>
      <c r="U497" s="515"/>
      <c r="V497" s="515"/>
      <c r="W497" s="515"/>
      <c r="X497" s="515"/>
      <c r="Y497" s="120"/>
      <c r="Z497" s="102">
        <v>655.67998670833333</v>
      </c>
      <c r="AA497" s="43">
        <v>1148.9000000000001</v>
      </c>
      <c r="AC497" s="45">
        <v>0.4</v>
      </c>
      <c r="AD497" s="46" t="s">
        <v>371</v>
      </c>
    </row>
    <row r="498" spans="1:30" s="44" customFormat="1" ht="178.5" hidden="1" x14ac:dyDescent="0.2">
      <c r="A498" s="335">
        <f t="shared" si="161"/>
        <v>400</v>
      </c>
      <c r="B498" s="245" t="s">
        <v>347</v>
      </c>
      <c r="C498" s="302" t="s">
        <v>357</v>
      </c>
      <c r="D498" s="303" t="s">
        <v>355</v>
      </c>
      <c r="E498" s="254">
        <v>2.2750000000000001E-3</v>
      </c>
      <c r="F498" s="254">
        <v>1</v>
      </c>
      <c r="G498" s="329">
        <f t="shared" si="160"/>
        <v>2.2750000000000001E-3</v>
      </c>
      <c r="H498" s="359">
        <v>437.82</v>
      </c>
      <c r="I498" s="359">
        <f t="shared" si="162"/>
        <v>364.85</v>
      </c>
      <c r="J498" s="254">
        <v>13.3248</v>
      </c>
      <c r="K498" s="299">
        <f t="shared" si="154"/>
        <v>4861.55</v>
      </c>
      <c r="L498" s="301">
        <f t="shared" si="159"/>
        <v>11.06</v>
      </c>
      <c r="M498" s="154">
        <f t="shared" si="156"/>
        <v>2.21</v>
      </c>
      <c r="N498" s="250">
        <f t="shared" si="153"/>
        <v>13.27</v>
      </c>
      <c r="O498" s="515"/>
      <c r="P498" s="515"/>
      <c r="Q498" s="515"/>
      <c r="R498" s="515"/>
      <c r="S498" s="515"/>
      <c r="T498" s="515"/>
      <c r="U498" s="515"/>
      <c r="V498" s="515"/>
      <c r="W498" s="515"/>
      <c r="X498" s="515"/>
      <c r="Y498" s="120"/>
      <c r="Z498" s="102">
        <v>1502.4713398664585</v>
      </c>
      <c r="AA498" s="43">
        <v>2632.68</v>
      </c>
      <c r="AC498" s="47" t="s">
        <v>382</v>
      </c>
      <c r="AD498" s="46">
        <v>19696.099999999999</v>
      </c>
    </row>
    <row r="499" spans="1:30" s="44" customFormat="1" ht="102" hidden="1" customHeight="1" x14ac:dyDescent="0.2">
      <c r="A499" s="335">
        <f t="shared" si="161"/>
        <v>401</v>
      </c>
      <c r="B499" s="245" t="s">
        <v>348</v>
      </c>
      <c r="C499" s="302" t="s">
        <v>410</v>
      </c>
      <c r="D499" s="303" t="s">
        <v>354</v>
      </c>
      <c r="E499" s="360">
        <v>0.44</v>
      </c>
      <c r="F499" s="254">
        <v>1</v>
      </c>
      <c r="G499" s="303">
        <f t="shared" si="160"/>
        <v>0.44</v>
      </c>
      <c r="H499" s="359">
        <v>279.35000000000002</v>
      </c>
      <c r="I499" s="359">
        <f t="shared" si="162"/>
        <v>232.79166666666669</v>
      </c>
      <c r="J499" s="254">
        <v>13.3248</v>
      </c>
      <c r="K499" s="299">
        <f t="shared" si="154"/>
        <v>3101.9</v>
      </c>
      <c r="L499" s="301">
        <f t="shared" si="159"/>
        <v>1364.84</v>
      </c>
      <c r="M499" s="154">
        <f t="shared" si="156"/>
        <v>272.97000000000003</v>
      </c>
      <c r="N499" s="250">
        <f t="shared" si="153"/>
        <v>1637.81</v>
      </c>
      <c r="O499" s="515"/>
      <c r="P499" s="515"/>
      <c r="Q499" s="515"/>
      <c r="R499" s="515"/>
      <c r="S499" s="515"/>
      <c r="T499" s="515"/>
      <c r="U499" s="515"/>
      <c r="V499" s="515"/>
      <c r="W499" s="515"/>
      <c r="X499" s="515"/>
      <c r="Y499" s="120"/>
      <c r="Z499" s="102">
        <v>12.844530256875</v>
      </c>
      <c r="AA499" s="43">
        <v>22.51</v>
      </c>
      <c r="AC499" s="45">
        <v>5.0000000000000001E-3</v>
      </c>
      <c r="AD499" s="46">
        <v>437.82</v>
      </c>
    </row>
    <row r="500" spans="1:30" s="44" customFormat="1" ht="178.5" hidden="1" x14ac:dyDescent="0.2">
      <c r="A500" s="335">
        <f t="shared" si="161"/>
        <v>402</v>
      </c>
      <c r="B500" s="245" t="s">
        <v>349</v>
      </c>
      <c r="C500" s="302" t="s">
        <v>356</v>
      </c>
      <c r="D500" s="330" t="s">
        <v>355</v>
      </c>
      <c r="E500" s="254">
        <v>1.43E-2</v>
      </c>
      <c r="F500" s="254">
        <v>1</v>
      </c>
      <c r="G500" s="303">
        <f t="shared" si="160"/>
        <v>1.43E-2</v>
      </c>
      <c r="H500" s="359">
        <v>19696.099999999999</v>
      </c>
      <c r="I500" s="359">
        <f t="shared" si="162"/>
        <v>16413.416666666668</v>
      </c>
      <c r="J500" s="254">
        <v>13.3248</v>
      </c>
      <c r="K500" s="299">
        <f t="shared" si="154"/>
        <v>218705.49</v>
      </c>
      <c r="L500" s="301">
        <f t="shared" si="159"/>
        <v>3127.49</v>
      </c>
      <c r="M500" s="154">
        <f t="shared" si="156"/>
        <v>625.5</v>
      </c>
      <c r="N500" s="250">
        <f t="shared" si="153"/>
        <v>3752.99</v>
      </c>
      <c r="O500" s="515"/>
      <c r="P500" s="515"/>
      <c r="Q500" s="515"/>
      <c r="R500" s="515"/>
      <c r="S500" s="515"/>
      <c r="T500" s="515"/>
      <c r="U500" s="515"/>
      <c r="V500" s="515"/>
      <c r="W500" s="515"/>
      <c r="X500" s="515"/>
      <c r="Y500" s="120"/>
      <c r="Z500" s="102">
        <v>1585.1570008333333</v>
      </c>
      <c r="AA500" s="48">
        <v>2777.56</v>
      </c>
      <c r="AC500" s="45">
        <v>0.8</v>
      </c>
      <c r="AD500" s="46" t="s">
        <v>371</v>
      </c>
    </row>
    <row r="501" spans="1:30" s="44" customFormat="1" ht="178.5" hidden="1" x14ac:dyDescent="0.2">
      <c r="A501" s="335">
        <f t="shared" si="161"/>
        <v>403</v>
      </c>
      <c r="B501" s="245" t="s">
        <v>347</v>
      </c>
      <c r="C501" s="302" t="s">
        <v>357</v>
      </c>
      <c r="D501" s="303" t="s">
        <v>355</v>
      </c>
      <c r="E501" s="254">
        <v>5.4999999999999997E-3</v>
      </c>
      <c r="F501" s="254">
        <v>1</v>
      </c>
      <c r="G501" s="303">
        <f t="shared" si="160"/>
        <v>5.4999999999999997E-3</v>
      </c>
      <c r="H501" s="359">
        <v>437.82</v>
      </c>
      <c r="I501" s="359">
        <f t="shared" si="162"/>
        <v>364.85</v>
      </c>
      <c r="J501" s="254">
        <v>13.3248</v>
      </c>
      <c r="K501" s="299">
        <f t="shared" si="154"/>
        <v>4861.55</v>
      </c>
      <c r="L501" s="301">
        <f t="shared" si="159"/>
        <v>26.74</v>
      </c>
      <c r="M501" s="154">
        <f t="shared" si="156"/>
        <v>5.35</v>
      </c>
      <c r="N501" s="250">
        <f t="shared" si="153"/>
        <v>32.090000000000003</v>
      </c>
      <c r="O501" s="515"/>
      <c r="P501" s="515"/>
      <c r="Q501" s="515"/>
      <c r="R501" s="515"/>
      <c r="S501" s="515"/>
      <c r="T501" s="515"/>
      <c r="U501" s="515"/>
      <c r="V501" s="515"/>
      <c r="W501" s="515"/>
      <c r="X501" s="515"/>
      <c r="Y501" s="120"/>
      <c r="Z501" s="102">
        <v>3632.3514809958333</v>
      </c>
      <c r="AA501" s="43">
        <v>6364.71</v>
      </c>
      <c r="AC501" s="47" t="s">
        <v>383</v>
      </c>
      <c r="AD501" s="46">
        <v>19696.099999999999</v>
      </c>
    </row>
    <row r="502" spans="1:30" s="44" customFormat="1" ht="78.75" hidden="1" customHeight="1" x14ac:dyDescent="0.2">
      <c r="A502" s="335">
        <f t="shared" si="161"/>
        <v>404</v>
      </c>
      <c r="B502" s="245" t="s">
        <v>353</v>
      </c>
      <c r="C502" s="302" t="s">
        <v>395</v>
      </c>
      <c r="D502" s="303" t="s">
        <v>354</v>
      </c>
      <c r="E502" s="254">
        <v>0.161</v>
      </c>
      <c r="F502" s="254">
        <v>1</v>
      </c>
      <c r="G502" s="303">
        <f t="shared" si="160"/>
        <v>0.161</v>
      </c>
      <c r="H502" s="359">
        <v>279.35000000000002</v>
      </c>
      <c r="I502" s="359">
        <f t="shared" si="162"/>
        <v>232.79166666666669</v>
      </c>
      <c r="J502" s="254">
        <v>13.3248</v>
      </c>
      <c r="K502" s="299">
        <f t="shared" si="154"/>
        <v>3101.9</v>
      </c>
      <c r="L502" s="301">
        <f t="shared" si="159"/>
        <v>499.41</v>
      </c>
      <c r="M502" s="154">
        <f t="shared" si="156"/>
        <v>99.88</v>
      </c>
      <c r="N502" s="250">
        <f t="shared" si="153"/>
        <v>599.29</v>
      </c>
      <c r="O502" s="515"/>
      <c r="P502" s="515"/>
      <c r="Q502" s="515"/>
      <c r="R502" s="515"/>
      <c r="S502" s="515"/>
      <c r="T502" s="515"/>
      <c r="U502" s="515"/>
      <c r="V502" s="515"/>
      <c r="W502" s="515"/>
      <c r="X502" s="515"/>
      <c r="Y502" s="120"/>
      <c r="Z502" s="102">
        <v>31.059084137499998</v>
      </c>
      <c r="AA502" s="43">
        <v>54.42</v>
      </c>
      <c r="AC502" s="45">
        <v>1.0999999999999999E-2</v>
      </c>
      <c r="AD502" s="46">
        <v>437.82</v>
      </c>
    </row>
    <row r="503" spans="1:30" s="44" customFormat="1" ht="178.5" hidden="1" x14ac:dyDescent="0.2">
      <c r="A503" s="335">
        <f t="shared" si="161"/>
        <v>405</v>
      </c>
      <c r="B503" s="245" t="s">
        <v>349</v>
      </c>
      <c r="C503" s="302" t="s">
        <v>356</v>
      </c>
      <c r="D503" s="330" t="s">
        <v>355</v>
      </c>
      <c r="E503" s="254">
        <v>1.8330000000000003E-2</v>
      </c>
      <c r="F503" s="254">
        <v>1</v>
      </c>
      <c r="G503" s="329">
        <f t="shared" si="160"/>
        <v>1.8330000000000003E-2</v>
      </c>
      <c r="H503" s="359">
        <v>19696.099999999999</v>
      </c>
      <c r="I503" s="359">
        <f t="shared" si="162"/>
        <v>16413.416666666668</v>
      </c>
      <c r="J503" s="254">
        <v>13.3248</v>
      </c>
      <c r="K503" s="299">
        <f t="shared" si="154"/>
        <v>218705.49</v>
      </c>
      <c r="L503" s="301">
        <f t="shared" si="159"/>
        <v>4008.87</v>
      </c>
      <c r="M503" s="154">
        <f t="shared" si="156"/>
        <v>801.77</v>
      </c>
      <c r="N503" s="250">
        <f t="shared" si="153"/>
        <v>4810.6400000000003</v>
      </c>
      <c r="O503" s="515"/>
      <c r="P503" s="515"/>
      <c r="Q503" s="515"/>
      <c r="R503" s="515"/>
      <c r="S503" s="515"/>
      <c r="T503" s="515"/>
      <c r="U503" s="515"/>
      <c r="V503" s="515"/>
      <c r="W503" s="515"/>
      <c r="X503" s="515"/>
      <c r="Y503" s="120"/>
      <c r="Z503" s="102">
        <v>580.02383439583332</v>
      </c>
      <c r="AA503" s="43">
        <v>1016.34</v>
      </c>
      <c r="AC503" s="45">
        <v>0.4</v>
      </c>
      <c r="AD503" s="46" t="s">
        <v>371</v>
      </c>
    </row>
    <row r="504" spans="1:30" s="44" customFormat="1" ht="178.5" hidden="1" x14ac:dyDescent="0.2">
      <c r="A504" s="335">
        <f t="shared" si="161"/>
        <v>406</v>
      </c>
      <c r="B504" s="245" t="s">
        <v>347</v>
      </c>
      <c r="C504" s="302" t="s">
        <v>357</v>
      </c>
      <c r="D504" s="303" t="s">
        <v>355</v>
      </c>
      <c r="E504" s="254">
        <v>7.0499999999999998E-3</v>
      </c>
      <c r="F504" s="254">
        <v>1</v>
      </c>
      <c r="G504" s="303">
        <f t="shared" si="160"/>
        <v>7.0499999999999998E-3</v>
      </c>
      <c r="H504" s="359">
        <v>437.82</v>
      </c>
      <c r="I504" s="359">
        <f t="shared" si="162"/>
        <v>364.85</v>
      </c>
      <c r="J504" s="254">
        <v>13.3248</v>
      </c>
      <c r="K504" s="299">
        <f t="shared" si="154"/>
        <v>4861.55</v>
      </c>
      <c r="L504" s="301">
        <f t="shared" si="159"/>
        <v>34.270000000000003</v>
      </c>
      <c r="M504" s="154">
        <f t="shared" si="156"/>
        <v>6.85</v>
      </c>
      <c r="N504" s="250">
        <f t="shared" si="153"/>
        <v>41.12</v>
      </c>
      <c r="O504" s="515"/>
      <c r="P504" s="515"/>
      <c r="Q504" s="515"/>
      <c r="R504" s="515"/>
      <c r="S504" s="515"/>
      <c r="T504" s="515"/>
      <c r="U504" s="515"/>
      <c r="V504" s="515"/>
      <c r="W504" s="515"/>
      <c r="X504" s="515"/>
      <c r="Y504" s="120"/>
      <c r="Z504" s="102">
        <v>4656.0142620037504</v>
      </c>
      <c r="AA504" s="43">
        <v>8158.4</v>
      </c>
      <c r="AC504" s="47" t="s">
        <v>384</v>
      </c>
      <c r="AD504" s="46">
        <v>19696.099999999999</v>
      </c>
    </row>
    <row r="505" spans="1:30" s="44" customFormat="1" ht="63.75" hidden="1" customHeight="1" x14ac:dyDescent="0.2">
      <c r="A505" s="335">
        <f t="shared" si="161"/>
        <v>407</v>
      </c>
      <c r="B505" s="245" t="s">
        <v>363</v>
      </c>
      <c r="C505" s="302" t="s">
        <v>396</v>
      </c>
      <c r="D505" s="303" t="s">
        <v>354</v>
      </c>
      <c r="E505" s="254">
        <v>2.4E-2</v>
      </c>
      <c r="F505" s="254">
        <v>1</v>
      </c>
      <c r="G505" s="303">
        <f t="shared" si="160"/>
        <v>2.4E-2</v>
      </c>
      <c r="H505" s="359">
        <v>279.35000000000002</v>
      </c>
      <c r="I505" s="359">
        <f t="shared" si="162"/>
        <v>232.79166666666669</v>
      </c>
      <c r="J505" s="254">
        <v>13.3248</v>
      </c>
      <c r="K505" s="299">
        <f t="shared" si="154"/>
        <v>3101.9</v>
      </c>
      <c r="L505" s="301">
        <f t="shared" si="159"/>
        <v>74.45</v>
      </c>
      <c r="M505" s="154">
        <f t="shared" si="156"/>
        <v>14.89</v>
      </c>
      <c r="N505" s="250">
        <f t="shared" si="153"/>
        <v>89.34</v>
      </c>
      <c r="O505" s="515"/>
      <c r="P505" s="515"/>
      <c r="Q505" s="515"/>
      <c r="R505" s="515"/>
      <c r="S505" s="515"/>
      <c r="T505" s="515"/>
      <c r="U505" s="515"/>
      <c r="V505" s="515"/>
      <c r="W505" s="515"/>
      <c r="X505" s="515"/>
      <c r="Y505" s="120"/>
      <c r="Z505" s="102">
        <v>39.802280576249998</v>
      </c>
      <c r="AA505" s="43">
        <v>69.75</v>
      </c>
      <c r="AC505" s="45">
        <v>1.4E-2</v>
      </c>
      <c r="AD505" s="46">
        <v>437.82</v>
      </c>
    </row>
    <row r="506" spans="1:30" s="44" customFormat="1" ht="178.5" hidden="1" x14ac:dyDescent="0.2">
      <c r="A506" s="335">
        <f t="shared" si="161"/>
        <v>408</v>
      </c>
      <c r="B506" s="245" t="s">
        <v>349</v>
      </c>
      <c r="C506" s="302" t="s">
        <v>356</v>
      </c>
      <c r="D506" s="330" t="s">
        <v>355</v>
      </c>
      <c r="E506" s="254">
        <v>4.680000000000001E-3</v>
      </c>
      <c r="F506" s="254">
        <v>1</v>
      </c>
      <c r="G506" s="303">
        <f t="shared" si="160"/>
        <v>4.680000000000001E-3</v>
      </c>
      <c r="H506" s="359">
        <v>19696.099999999999</v>
      </c>
      <c r="I506" s="359">
        <f t="shared" si="162"/>
        <v>16413.416666666668</v>
      </c>
      <c r="J506" s="254">
        <v>13.3248</v>
      </c>
      <c r="K506" s="299">
        <f t="shared" si="154"/>
        <v>218705.49</v>
      </c>
      <c r="L506" s="301">
        <f t="shared" si="159"/>
        <v>1023.54</v>
      </c>
      <c r="M506" s="154">
        <f t="shared" si="156"/>
        <v>204.71</v>
      </c>
      <c r="N506" s="250">
        <f t="shared" si="153"/>
        <v>1228.25</v>
      </c>
      <c r="O506" s="515"/>
      <c r="P506" s="515"/>
      <c r="Q506" s="515"/>
      <c r="R506" s="515"/>
      <c r="S506" s="515"/>
      <c r="T506" s="515"/>
      <c r="U506" s="515"/>
      <c r="V506" s="515"/>
      <c r="W506" s="515"/>
      <c r="X506" s="515"/>
      <c r="Y506" s="120"/>
      <c r="Z506" s="102">
        <v>86.462745499999997</v>
      </c>
      <c r="AA506" s="43">
        <v>151.5</v>
      </c>
      <c r="AC506" s="45">
        <v>4.8000000000000001E-2</v>
      </c>
      <c r="AD506" s="46" t="s">
        <v>371</v>
      </c>
    </row>
    <row r="507" spans="1:30" s="44" customFormat="1" ht="178.5" hidden="1" x14ac:dyDescent="0.2">
      <c r="A507" s="335">
        <f t="shared" si="161"/>
        <v>409</v>
      </c>
      <c r="B507" s="245" t="s">
        <v>347</v>
      </c>
      <c r="C507" s="302" t="s">
        <v>357</v>
      </c>
      <c r="D507" s="303" t="s">
        <v>355</v>
      </c>
      <c r="E507" s="254">
        <v>1.8E-3</v>
      </c>
      <c r="F507" s="254">
        <v>1</v>
      </c>
      <c r="G507" s="303">
        <f t="shared" si="160"/>
        <v>1.8E-3</v>
      </c>
      <c r="H507" s="359">
        <v>437.82</v>
      </c>
      <c r="I507" s="359">
        <f t="shared" si="162"/>
        <v>364.85</v>
      </c>
      <c r="J507" s="254">
        <v>13.3248</v>
      </c>
      <c r="K507" s="299">
        <f t="shared" si="154"/>
        <v>4861.55</v>
      </c>
      <c r="L507" s="301">
        <f t="shared" si="159"/>
        <v>8.75</v>
      </c>
      <c r="M507" s="154">
        <f t="shared" si="156"/>
        <v>1.75</v>
      </c>
      <c r="N507" s="250">
        <f t="shared" si="153"/>
        <v>10.5</v>
      </c>
      <c r="O507" s="515"/>
      <c r="P507" s="515"/>
      <c r="Q507" s="515"/>
      <c r="R507" s="515"/>
      <c r="S507" s="515"/>
      <c r="T507" s="515"/>
      <c r="U507" s="515"/>
      <c r="V507" s="515"/>
      <c r="W507" s="515"/>
      <c r="X507" s="515"/>
      <c r="Y507" s="120"/>
      <c r="Z507" s="102">
        <v>1188.7719392350002</v>
      </c>
      <c r="AA507" s="43">
        <v>2083</v>
      </c>
      <c r="AC507" s="47" t="s">
        <v>385</v>
      </c>
      <c r="AD507" s="46">
        <v>19696.099999999999</v>
      </c>
    </row>
    <row r="508" spans="1:30" s="44" customFormat="1" ht="165.75" hidden="1" x14ac:dyDescent="0.2">
      <c r="A508" s="335">
        <f t="shared" si="161"/>
        <v>410</v>
      </c>
      <c r="B508" s="245" t="s">
        <v>363</v>
      </c>
      <c r="C508" s="302" t="s">
        <v>364</v>
      </c>
      <c r="D508" s="303" t="s">
        <v>354</v>
      </c>
      <c r="E508" s="254">
        <v>1.4E-2</v>
      </c>
      <c r="F508" s="254">
        <v>1</v>
      </c>
      <c r="G508" s="303">
        <f t="shared" si="160"/>
        <v>1.4E-2</v>
      </c>
      <c r="H508" s="359">
        <v>476.42</v>
      </c>
      <c r="I508" s="359">
        <f t="shared" si="162"/>
        <v>397.01666666666671</v>
      </c>
      <c r="J508" s="254">
        <v>13.3248</v>
      </c>
      <c r="K508" s="299">
        <f t="shared" si="154"/>
        <v>5290.17</v>
      </c>
      <c r="L508" s="301">
        <f t="shared" si="159"/>
        <v>74.06</v>
      </c>
      <c r="M508" s="154">
        <f t="shared" si="156"/>
        <v>14.81</v>
      </c>
      <c r="N508" s="250">
        <f t="shared" si="153"/>
        <v>88.87</v>
      </c>
      <c r="O508" s="515"/>
      <c r="P508" s="515"/>
      <c r="Q508" s="515"/>
      <c r="R508" s="515"/>
      <c r="S508" s="515"/>
      <c r="T508" s="515"/>
      <c r="U508" s="515"/>
      <c r="V508" s="515"/>
      <c r="W508" s="515"/>
      <c r="X508" s="515"/>
      <c r="Y508" s="120"/>
      <c r="Z508" s="102">
        <v>10.159518445</v>
      </c>
      <c r="AA508" s="43">
        <v>17.809999999999999</v>
      </c>
      <c r="AC508" s="45">
        <v>4.0000000000000001E-3</v>
      </c>
      <c r="AD508" s="46">
        <v>437.82</v>
      </c>
    </row>
    <row r="509" spans="1:30" s="44" customFormat="1" ht="178.5" hidden="1" x14ac:dyDescent="0.2">
      <c r="A509" s="335">
        <f t="shared" si="161"/>
        <v>411</v>
      </c>
      <c r="B509" s="245" t="s">
        <v>349</v>
      </c>
      <c r="C509" s="302" t="s">
        <v>356</v>
      </c>
      <c r="D509" s="330" t="s">
        <v>355</v>
      </c>
      <c r="E509" s="254">
        <v>2.9119999999999997E-2</v>
      </c>
      <c r="F509" s="254">
        <v>1</v>
      </c>
      <c r="G509" s="329">
        <f t="shared" si="160"/>
        <v>2.9119999999999997E-2</v>
      </c>
      <c r="H509" s="359">
        <v>19696.099999999999</v>
      </c>
      <c r="I509" s="359">
        <f t="shared" si="162"/>
        <v>16413.416666666668</v>
      </c>
      <c r="J509" s="254">
        <v>13.3248</v>
      </c>
      <c r="K509" s="299">
        <f t="shared" si="154"/>
        <v>218705.49</v>
      </c>
      <c r="L509" s="301">
        <f t="shared" si="159"/>
        <v>6368.7</v>
      </c>
      <c r="M509" s="154">
        <f t="shared" si="156"/>
        <v>1273.74</v>
      </c>
      <c r="N509" s="250">
        <f t="shared" si="153"/>
        <v>7642.44</v>
      </c>
      <c r="O509" s="515"/>
      <c r="P509" s="515"/>
      <c r="Q509" s="515"/>
      <c r="R509" s="515"/>
      <c r="S509" s="515"/>
      <c r="T509" s="515"/>
      <c r="U509" s="515"/>
      <c r="V509" s="515"/>
      <c r="W509" s="515"/>
      <c r="X509" s="515"/>
      <c r="Y509" s="120"/>
      <c r="Z509" s="102">
        <v>86.021756183333338</v>
      </c>
      <c r="AA509" s="43">
        <v>150.72</v>
      </c>
      <c r="AC509" s="45">
        <v>2.8000000000000001E-2</v>
      </c>
      <c r="AD509" s="46" t="s">
        <v>372</v>
      </c>
    </row>
    <row r="510" spans="1:30" s="44" customFormat="1" ht="178.5" hidden="1" x14ac:dyDescent="0.2">
      <c r="A510" s="335">
        <f t="shared" si="161"/>
        <v>412</v>
      </c>
      <c r="B510" s="245" t="s">
        <v>347</v>
      </c>
      <c r="C510" s="302" t="s">
        <v>357</v>
      </c>
      <c r="D510" s="303" t="s">
        <v>355</v>
      </c>
      <c r="E510" s="254">
        <v>1.12E-2</v>
      </c>
      <c r="F510" s="254">
        <v>1</v>
      </c>
      <c r="G510" s="303">
        <f t="shared" si="160"/>
        <v>1.12E-2</v>
      </c>
      <c r="H510" s="359">
        <v>437.82</v>
      </c>
      <c r="I510" s="359">
        <f t="shared" si="162"/>
        <v>364.85</v>
      </c>
      <c r="J510" s="254">
        <v>13.3248</v>
      </c>
      <c r="K510" s="299">
        <f t="shared" si="154"/>
        <v>4861.55</v>
      </c>
      <c r="L510" s="301">
        <f t="shared" si="159"/>
        <v>54.45</v>
      </c>
      <c r="M510" s="154">
        <f t="shared" si="156"/>
        <v>10.89</v>
      </c>
      <c r="N510" s="250">
        <f t="shared" si="153"/>
        <v>65.34</v>
      </c>
      <c r="O510" s="515"/>
      <c r="P510" s="515"/>
      <c r="Q510" s="515"/>
      <c r="R510" s="515"/>
      <c r="S510" s="515"/>
      <c r="T510" s="515"/>
      <c r="U510" s="515"/>
      <c r="V510" s="515"/>
      <c r="W510" s="515"/>
      <c r="X510" s="515"/>
      <c r="Y510" s="120"/>
      <c r="Z510" s="102">
        <v>7396.7942885733328</v>
      </c>
      <c r="AA510" s="43">
        <v>12960.86</v>
      </c>
      <c r="AC510" s="47" t="s">
        <v>386</v>
      </c>
      <c r="AD510" s="46">
        <v>19696.099999999999</v>
      </c>
    </row>
    <row r="511" spans="1:30" s="44" customFormat="1" ht="75.75" hidden="1" customHeight="1" x14ac:dyDescent="0.2">
      <c r="A511" s="335">
        <f t="shared" si="161"/>
        <v>413</v>
      </c>
      <c r="B511" s="245" t="s">
        <v>365</v>
      </c>
      <c r="C511" s="302" t="s">
        <v>397</v>
      </c>
      <c r="D511" s="254" t="s">
        <v>411</v>
      </c>
      <c r="E511" s="254">
        <v>8.5999999999999993E-2</v>
      </c>
      <c r="F511" s="254">
        <v>1</v>
      </c>
      <c r="G511" s="303">
        <f t="shared" si="160"/>
        <v>8.5999999999999993E-2</v>
      </c>
      <c r="H511" s="359">
        <v>270.83999999999997</v>
      </c>
      <c r="I511" s="359">
        <f t="shared" si="162"/>
        <v>225.7</v>
      </c>
      <c r="J511" s="254">
        <v>13.3248</v>
      </c>
      <c r="K511" s="299">
        <f t="shared" si="154"/>
        <v>3007.41</v>
      </c>
      <c r="L511" s="301">
        <f t="shared" si="159"/>
        <v>258.64</v>
      </c>
      <c r="M511" s="154">
        <f t="shared" si="156"/>
        <v>51.73</v>
      </c>
      <c r="N511" s="250">
        <f t="shared" si="153"/>
        <v>310.37</v>
      </c>
      <c r="O511" s="515"/>
      <c r="P511" s="515"/>
      <c r="Q511" s="515"/>
      <c r="R511" s="515"/>
      <c r="S511" s="515"/>
      <c r="T511" s="515"/>
      <c r="U511" s="515"/>
      <c r="V511" s="515"/>
      <c r="W511" s="515"/>
      <c r="X511" s="515"/>
      <c r="Y511" s="120"/>
      <c r="Z511" s="102">
        <v>63.239225879999999</v>
      </c>
      <c r="AA511" s="43">
        <v>110.81</v>
      </c>
      <c r="AC511" s="45">
        <v>2.1999999999999999E-2</v>
      </c>
      <c r="AD511" s="46">
        <v>437.82</v>
      </c>
    </row>
    <row r="512" spans="1:30" s="44" customFormat="1" ht="178.5" hidden="1" x14ac:dyDescent="0.2">
      <c r="A512" s="335">
        <f t="shared" si="161"/>
        <v>414</v>
      </c>
      <c r="B512" s="245" t="s">
        <v>349</v>
      </c>
      <c r="C512" s="302" t="s">
        <v>356</v>
      </c>
      <c r="D512" s="330" t="s">
        <v>355</v>
      </c>
      <c r="E512" s="254">
        <v>5.5899999999999995E-3</v>
      </c>
      <c r="F512" s="254">
        <v>1</v>
      </c>
      <c r="G512" s="329">
        <f t="shared" si="160"/>
        <v>5.5899999999999995E-3</v>
      </c>
      <c r="H512" s="359">
        <v>19696.099999999999</v>
      </c>
      <c r="I512" s="359">
        <f t="shared" si="162"/>
        <v>16413.416666666668</v>
      </c>
      <c r="J512" s="254">
        <v>13.3248</v>
      </c>
      <c r="K512" s="299">
        <f t="shared" si="154"/>
        <v>218705.49</v>
      </c>
      <c r="L512" s="301">
        <f t="shared" si="159"/>
        <v>1222.56</v>
      </c>
      <c r="M512" s="154">
        <f t="shared" si="156"/>
        <v>244.51</v>
      </c>
      <c r="N512" s="250">
        <f t="shared" si="153"/>
        <v>1467.07</v>
      </c>
      <c r="O512" s="515"/>
      <c r="P512" s="515"/>
      <c r="Q512" s="515"/>
      <c r="R512" s="515"/>
      <c r="S512" s="515"/>
      <c r="T512" s="515"/>
      <c r="U512" s="515"/>
      <c r="V512" s="515"/>
      <c r="W512" s="515"/>
      <c r="X512" s="515"/>
      <c r="Y512" s="120"/>
      <c r="Z512" s="102">
        <v>300.38364430000001</v>
      </c>
      <c r="AA512" s="43">
        <v>526.35</v>
      </c>
      <c r="AC512" s="45">
        <v>0.17199999999999999</v>
      </c>
      <c r="AD512" s="46" t="s">
        <v>373</v>
      </c>
    </row>
    <row r="513" spans="1:30" s="44" customFormat="1" ht="178.5" hidden="1" x14ac:dyDescent="0.2">
      <c r="A513" s="335">
        <f t="shared" si="161"/>
        <v>415</v>
      </c>
      <c r="B513" s="245" t="s">
        <v>347</v>
      </c>
      <c r="C513" s="302" t="s">
        <v>357</v>
      </c>
      <c r="D513" s="303" t="s">
        <v>355</v>
      </c>
      <c r="E513" s="254">
        <v>2.15E-3</v>
      </c>
      <c r="F513" s="254">
        <v>1</v>
      </c>
      <c r="G513" s="303">
        <f t="shared" si="160"/>
        <v>2.15E-3</v>
      </c>
      <c r="H513" s="359">
        <v>437.82</v>
      </c>
      <c r="I513" s="359">
        <f t="shared" si="162"/>
        <v>364.85</v>
      </c>
      <c r="J513" s="254">
        <v>13.3248</v>
      </c>
      <c r="K513" s="299">
        <f t="shared" si="154"/>
        <v>4861.55</v>
      </c>
      <c r="L513" s="301">
        <f t="shared" si="159"/>
        <v>10.45</v>
      </c>
      <c r="M513" s="154">
        <f t="shared" si="156"/>
        <v>2.09</v>
      </c>
      <c r="N513" s="250">
        <f t="shared" si="153"/>
        <v>12.54</v>
      </c>
      <c r="O513" s="515"/>
      <c r="P513" s="515"/>
      <c r="Q513" s="515"/>
      <c r="R513" s="515"/>
      <c r="S513" s="515"/>
      <c r="T513" s="515"/>
      <c r="U513" s="515"/>
      <c r="V513" s="515"/>
      <c r="W513" s="515"/>
      <c r="X513" s="515"/>
      <c r="Y513" s="120"/>
      <c r="Z513" s="102">
        <v>1419.9167607529166</v>
      </c>
      <c r="AA513" s="43">
        <v>2488.02</v>
      </c>
      <c r="AC513" s="47" t="s">
        <v>387</v>
      </c>
      <c r="AD513" s="46">
        <v>19696.099999999999</v>
      </c>
    </row>
    <row r="514" spans="1:30" s="44" customFormat="1" ht="216.75" hidden="1" x14ac:dyDescent="0.2">
      <c r="A514" s="335">
        <f t="shared" si="161"/>
        <v>416</v>
      </c>
      <c r="B514" s="245" t="s">
        <v>365</v>
      </c>
      <c r="C514" s="302" t="s">
        <v>403</v>
      </c>
      <c r="D514" s="303" t="s">
        <v>77</v>
      </c>
      <c r="E514" s="254">
        <v>6.8000000000000005E-2</v>
      </c>
      <c r="F514" s="254">
        <v>1</v>
      </c>
      <c r="G514" s="303">
        <f t="shared" si="160"/>
        <v>6.8000000000000005E-2</v>
      </c>
      <c r="H514" s="359">
        <v>262.08</v>
      </c>
      <c r="I514" s="359">
        <f t="shared" si="162"/>
        <v>218.4</v>
      </c>
      <c r="J514" s="254">
        <v>13.3248</v>
      </c>
      <c r="K514" s="299">
        <f t="shared" si="154"/>
        <v>2910.14</v>
      </c>
      <c r="L514" s="301">
        <f t="shared" si="159"/>
        <v>197.89</v>
      </c>
      <c r="M514" s="154">
        <f t="shared" si="156"/>
        <v>39.58</v>
      </c>
      <c r="N514" s="250">
        <f t="shared" si="153"/>
        <v>237.47</v>
      </c>
      <c r="O514" s="515"/>
      <c r="P514" s="515"/>
      <c r="Q514" s="515"/>
      <c r="R514" s="515"/>
      <c r="S514" s="515"/>
      <c r="T514" s="515"/>
      <c r="U514" s="515"/>
      <c r="V514" s="515"/>
      <c r="W514" s="515"/>
      <c r="X514" s="515"/>
      <c r="Y514" s="120"/>
      <c r="Z514" s="102">
        <v>12.136369253749999</v>
      </c>
      <c r="AA514" s="43">
        <v>21.27</v>
      </c>
      <c r="AC514" s="45">
        <v>4.0000000000000001E-3</v>
      </c>
      <c r="AD514" s="46">
        <v>437.82</v>
      </c>
    </row>
    <row r="515" spans="1:30" s="44" customFormat="1" ht="178.5" hidden="1" x14ac:dyDescent="0.2">
      <c r="A515" s="335">
        <f t="shared" si="161"/>
        <v>417</v>
      </c>
      <c r="B515" s="245" t="s">
        <v>349</v>
      </c>
      <c r="C515" s="302" t="s">
        <v>356</v>
      </c>
      <c r="D515" s="330" t="s">
        <v>355</v>
      </c>
      <c r="E515" s="254">
        <v>4.4200000000000003E-3</v>
      </c>
      <c r="F515" s="254">
        <v>1</v>
      </c>
      <c r="G515" s="329">
        <f t="shared" si="160"/>
        <v>4.4200000000000003E-3</v>
      </c>
      <c r="H515" s="359">
        <v>19696.099999999999</v>
      </c>
      <c r="I515" s="359">
        <f t="shared" si="162"/>
        <v>16413.416666666668</v>
      </c>
      <c r="J515" s="254">
        <v>13.3248</v>
      </c>
      <c r="K515" s="299">
        <f t="shared" si="154"/>
        <v>218705.49</v>
      </c>
      <c r="L515" s="301">
        <f t="shared" si="159"/>
        <v>966.68</v>
      </c>
      <c r="M515" s="154">
        <f t="shared" si="156"/>
        <v>193.34</v>
      </c>
      <c r="N515" s="250">
        <f t="shared" si="153"/>
        <v>1160.02</v>
      </c>
      <c r="O515" s="515"/>
      <c r="P515" s="515"/>
      <c r="Q515" s="515"/>
      <c r="R515" s="515"/>
      <c r="S515" s="515"/>
      <c r="T515" s="515"/>
      <c r="U515" s="515"/>
      <c r="V515" s="515"/>
      <c r="W515" s="515"/>
      <c r="X515" s="515"/>
      <c r="Y515" s="120"/>
      <c r="Z515" s="102">
        <v>229.83850080000002</v>
      </c>
      <c r="AA515" s="43">
        <v>402.72</v>
      </c>
      <c r="AC515" s="45">
        <v>0.13600000000000001</v>
      </c>
      <c r="AD515" s="46" t="s">
        <v>374</v>
      </c>
    </row>
    <row r="516" spans="1:30" s="44" customFormat="1" ht="178.5" hidden="1" x14ac:dyDescent="0.2">
      <c r="A516" s="335">
        <f t="shared" si="161"/>
        <v>418</v>
      </c>
      <c r="B516" s="245" t="s">
        <v>347</v>
      </c>
      <c r="C516" s="302" t="s">
        <v>357</v>
      </c>
      <c r="D516" s="303" t="s">
        <v>355</v>
      </c>
      <c r="E516" s="254">
        <v>1.6999999999999999E-3</v>
      </c>
      <c r="F516" s="254">
        <v>1</v>
      </c>
      <c r="G516" s="303">
        <f t="shared" si="160"/>
        <v>1.6999999999999999E-3</v>
      </c>
      <c r="H516" s="359">
        <v>437.82</v>
      </c>
      <c r="I516" s="359">
        <f t="shared" si="162"/>
        <v>364.85</v>
      </c>
      <c r="J516" s="254">
        <v>13.3248</v>
      </c>
      <c r="K516" s="299">
        <f t="shared" si="154"/>
        <v>4861.55</v>
      </c>
      <c r="L516" s="301">
        <f t="shared" si="159"/>
        <v>8.26</v>
      </c>
      <c r="M516" s="154">
        <f t="shared" si="156"/>
        <v>1.65</v>
      </c>
      <c r="N516" s="250">
        <f t="shared" si="153"/>
        <v>9.91</v>
      </c>
      <c r="O516" s="515"/>
      <c r="P516" s="515"/>
      <c r="Q516" s="515"/>
      <c r="R516" s="515"/>
      <c r="S516" s="515"/>
      <c r="T516" s="515"/>
      <c r="U516" s="515"/>
      <c r="V516" s="515"/>
      <c r="W516" s="515"/>
      <c r="X516" s="515"/>
      <c r="Y516" s="120"/>
      <c r="Z516" s="102">
        <v>1122.7262759441669</v>
      </c>
      <c r="AA516" s="43">
        <v>1967.27</v>
      </c>
      <c r="AC516" s="47" t="s">
        <v>388</v>
      </c>
      <c r="AD516" s="46">
        <v>19696.099999999999</v>
      </c>
    </row>
    <row r="517" spans="1:30" s="44" customFormat="1" ht="93.75" hidden="1" customHeight="1" x14ac:dyDescent="0.2">
      <c r="A517" s="335">
        <f t="shared" si="161"/>
        <v>419</v>
      </c>
      <c r="B517" s="245" t="s">
        <v>389</v>
      </c>
      <c r="C517" s="302" t="s">
        <v>398</v>
      </c>
      <c r="D517" s="254" t="s">
        <v>411</v>
      </c>
      <c r="E517" s="254">
        <v>0.28499999999999998</v>
      </c>
      <c r="F517" s="254">
        <v>1</v>
      </c>
      <c r="G517" s="303">
        <f t="shared" si="160"/>
        <v>0.28499999999999998</v>
      </c>
      <c r="H517" s="359">
        <v>5543.17</v>
      </c>
      <c r="I517" s="359">
        <f t="shared" si="162"/>
        <v>4619.3083333333334</v>
      </c>
      <c r="J517" s="254">
        <v>13.3248</v>
      </c>
      <c r="K517" s="299">
        <f t="shared" si="154"/>
        <v>61551.360000000001</v>
      </c>
      <c r="L517" s="301">
        <f t="shared" si="159"/>
        <v>17542.14</v>
      </c>
      <c r="M517" s="154">
        <f t="shared" si="156"/>
        <v>3508.43</v>
      </c>
      <c r="N517" s="250">
        <f t="shared" si="153"/>
        <v>21050.57</v>
      </c>
      <c r="O517" s="515"/>
      <c r="P517" s="515"/>
      <c r="Q517" s="515"/>
      <c r="R517" s="515"/>
      <c r="S517" s="515"/>
      <c r="T517" s="515"/>
      <c r="U517" s="515"/>
      <c r="V517" s="515"/>
      <c r="W517" s="515"/>
      <c r="X517" s="515"/>
      <c r="Y517" s="120"/>
      <c r="Z517" s="102">
        <v>9.5989896424999994</v>
      </c>
      <c r="AA517" s="43">
        <v>16.82</v>
      </c>
      <c r="AC517" s="45">
        <v>3.0000000000000001E-3</v>
      </c>
      <c r="AD517" s="46">
        <v>437.82</v>
      </c>
    </row>
    <row r="518" spans="1:30" s="44" customFormat="1" ht="178.5" hidden="1" x14ac:dyDescent="0.2">
      <c r="A518" s="335">
        <f t="shared" si="161"/>
        <v>420</v>
      </c>
      <c r="B518" s="245" t="s">
        <v>349</v>
      </c>
      <c r="C518" s="302" t="s">
        <v>356</v>
      </c>
      <c r="D518" s="330" t="s">
        <v>355</v>
      </c>
      <c r="E518" s="254">
        <v>1.8525000000000003E-2</v>
      </c>
      <c r="F518" s="254">
        <v>1</v>
      </c>
      <c r="G518" s="329">
        <f t="shared" si="160"/>
        <v>1.8525000000000003E-2</v>
      </c>
      <c r="H518" s="359">
        <v>19696.099999999999</v>
      </c>
      <c r="I518" s="359">
        <f t="shared" si="162"/>
        <v>16413.416666666668</v>
      </c>
      <c r="J518" s="254">
        <v>13.3248</v>
      </c>
      <c r="K518" s="299">
        <f t="shared" si="154"/>
        <v>218705.49</v>
      </c>
      <c r="L518" s="301">
        <f t="shared" si="159"/>
        <v>4051.52</v>
      </c>
      <c r="M518" s="154">
        <f t="shared" si="156"/>
        <v>810.3</v>
      </c>
      <c r="N518" s="250">
        <f t="shared" si="153"/>
        <v>4861.82</v>
      </c>
      <c r="O518" s="515"/>
      <c r="P518" s="515"/>
      <c r="Q518" s="515"/>
      <c r="R518" s="515"/>
      <c r="S518" s="515"/>
      <c r="T518" s="515"/>
      <c r="U518" s="515"/>
      <c r="V518" s="515"/>
      <c r="W518" s="515"/>
      <c r="X518" s="515"/>
      <c r="Y518" s="120"/>
      <c r="Z518" s="102">
        <v>20373.9393274375</v>
      </c>
      <c r="AA518" s="43">
        <v>35699.769999999997</v>
      </c>
      <c r="AC518" s="45">
        <v>0.56999999999999995</v>
      </c>
      <c r="AD518" s="46" t="s">
        <v>375</v>
      </c>
    </row>
    <row r="519" spans="1:30" s="44" customFormat="1" ht="178.5" hidden="1" x14ac:dyDescent="0.2">
      <c r="A519" s="335">
        <f t="shared" si="161"/>
        <v>421</v>
      </c>
      <c r="B519" s="245" t="s">
        <v>347</v>
      </c>
      <c r="C519" s="302" t="s">
        <v>359</v>
      </c>
      <c r="D519" s="303" t="s">
        <v>355</v>
      </c>
      <c r="E519" s="254">
        <v>7.1250000000000003E-3</v>
      </c>
      <c r="F519" s="254">
        <v>1</v>
      </c>
      <c r="G519" s="329">
        <f t="shared" si="160"/>
        <v>7.1250000000000003E-3</v>
      </c>
      <c r="H519" s="359">
        <v>437.82</v>
      </c>
      <c r="I519" s="359">
        <f t="shared" si="162"/>
        <v>364.85</v>
      </c>
      <c r="J519" s="254">
        <v>13.3248</v>
      </c>
      <c r="K519" s="299">
        <f t="shared" si="154"/>
        <v>4861.55</v>
      </c>
      <c r="L519" s="301">
        <f t="shared" si="159"/>
        <v>34.64</v>
      </c>
      <c r="M519" s="154">
        <f t="shared" si="156"/>
        <v>6.93</v>
      </c>
      <c r="N519" s="250">
        <f t="shared" si="153"/>
        <v>41.57</v>
      </c>
      <c r="O519" s="515"/>
      <c r="P519" s="515"/>
      <c r="Q519" s="515"/>
      <c r="R519" s="515"/>
      <c r="S519" s="515"/>
      <c r="T519" s="515"/>
      <c r="U519" s="515"/>
      <c r="V519" s="515"/>
      <c r="W519" s="515"/>
      <c r="X519" s="515"/>
      <c r="Y519" s="120"/>
      <c r="Z519" s="102">
        <v>4705.5510094718757</v>
      </c>
      <c r="AA519" s="43">
        <v>8245.19</v>
      </c>
      <c r="AC519" s="47" t="s">
        <v>390</v>
      </c>
      <c r="AD519" s="46">
        <v>19696.099999999999</v>
      </c>
    </row>
    <row r="520" spans="1:30" s="44" customFormat="1" ht="5.25" hidden="1" customHeight="1" x14ac:dyDescent="0.2">
      <c r="A520" s="335">
        <f t="shared" si="161"/>
        <v>422</v>
      </c>
      <c r="B520" s="245" t="s">
        <v>365</v>
      </c>
      <c r="C520" s="302" t="s">
        <v>399</v>
      </c>
      <c r="D520" s="254" t="s">
        <v>411</v>
      </c>
      <c r="E520" s="254">
        <v>7.4999999999999997E-2</v>
      </c>
      <c r="F520" s="254">
        <v>1</v>
      </c>
      <c r="G520" s="303">
        <f t="shared" si="160"/>
        <v>7.4999999999999997E-2</v>
      </c>
      <c r="H520" s="359">
        <v>218.4</v>
      </c>
      <c r="I520" s="359">
        <f t="shared" si="162"/>
        <v>182</v>
      </c>
      <c r="J520" s="254">
        <v>13.3248</v>
      </c>
      <c r="K520" s="299">
        <f t="shared" si="154"/>
        <v>2425.11</v>
      </c>
      <c r="L520" s="301">
        <f t="shared" si="159"/>
        <v>181.88</v>
      </c>
      <c r="M520" s="154">
        <f t="shared" si="156"/>
        <v>36.380000000000003</v>
      </c>
      <c r="N520" s="250">
        <f t="shared" si="153"/>
        <v>218.26</v>
      </c>
      <c r="O520" s="515"/>
      <c r="P520" s="515"/>
      <c r="Q520" s="515"/>
      <c r="R520" s="515"/>
      <c r="S520" s="515"/>
      <c r="T520" s="515"/>
      <c r="U520" s="515"/>
      <c r="V520" s="515"/>
      <c r="W520" s="515"/>
      <c r="X520" s="515"/>
      <c r="Y520" s="120"/>
      <c r="Z520" s="102">
        <v>40.235177178124999</v>
      </c>
      <c r="AA520" s="43">
        <v>70.489999999999995</v>
      </c>
      <c r="AC520" s="45">
        <v>1.4E-2</v>
      </c>
      <c r="AD520" s="46">
        <v>437.82</v>
      </c>
    </row>
    <row r="521" spans="1:30" s="44" customFormat="1" ht="75.75" hidden="1" customHeight="1" x14ac:dyDescent="0.2">
      <c r="A521" s="335">
        <f t="shared" si="161"/>
        <v>423</v>
      </c>
      <c r="B521" s="245" t="s">
        <v>349</v>
      </c>
      <c r="C521" s="302" t="s">
        <v>356</v>
      </c>
      <c r="D521" s="330" t="s">
        <v>355</v>
      </c>
      <c r="E521" s="254">
        <v>4.875E-3</v>
      </c>
      <c r="F521" s="254">
        <v>1</v>
      </c>
      <c r="G521" s="329">
        <f t="shared" si="160"/>
        <v>4.875E-3</v>
      </c>
      <c r="H521" s="359">
        <v>19696.099999999999</v>
      </c>
      <c r="I521" s="359">
        <f t="shared" si="162"/>
        <v>16413.416666666668</v>
      </c>
      <c r="J521" s="254">
        <v>13.3248</v>
      </c>
      <c r="K521" s="299">
        <f t="shared" si="154"/>
        <v>218705.49</v>
      </c>
      <c r="L521" s="301">
        <f t="shared" si="159"/>
        <v>1066.19</v>
      </c>
      <c r="M521" s="154">
        <f t="shared" si="156"/>
        <v>213.24</v>
      </c>
      <c r="N521" s="250">
        <f t="shared" si="153"/>
        <v>1279.43</v>
      </c>
      <c r="O521" s="515"/>
      <c r="P521" s="515"/>
      <c r="Q521" s="515"/>
      <c r="R521" s="515"/>
      <c r="S521" s="515"/>
      <c r="T521" s="515"/>
      <c r="U521" s="515"/>
      <c r="V521" s="515"/>
      <c r="W521" s="515"/>
      <c r="X521" s="515"/>
      <c r="Y521" s="120"/>
      <c r="Z521" s="102">
        <v>211.24722500000001</v>
      </c>
      <c r="AA521" s="43">
        <v>370.15</v>
      </c>
      <c r="AC521" s="47" t="s">
        <v>391</v>
      </c>
      <c r="AD521" s="46" t="s">
        <v>376</v>
      </c>
    </row>
    <row r="522" spans="1:30" s="44" customFormat="1" ht="54" hidden="1" customHeight="1" x14ac:dyDescent="0.2">
      <c r="A522" s="335">
        <f t="shared" si="161"/>
        <v>424</v>
      </c>
      <c r="B522" s="245" t="s">
        <v>347</v>
      </c>
      <c r="C522" s="302" t="s">
        <v>359</v>
      </c>
      <c r="D522" s="303" t="s">
        <v>355</v>
      </c>
      <c r="E522" s="254">
        <v>1.8749999999999999E-3</v>
      </c>
      <c r="F522" s="254">
        <v>1</v>
      </c>
      <c r="G522" s="329">
        <f t="shared" si="160"/>
        <v>1.8749999999999999E-3</v>
      </c>
      <c r="H522" s="359">
        <v>437.82</v>
      </c>
      <c r="I522" s="359">
        <f t="shared" si="162"/>
        <v>364.85</v>
      </c>
      <c r="J522" s="254">
        <v>13.3248</v>
      </c>
      <c r="K522" s="299">
        <f t="shared" si="154"/>
        <v>4861.55</v>
      </c>
      <c r="L522" s="301">
        <f t="shared" si="159"/>
        <v>9.1199999999999992</v>
      </c>
      <c r="M522" s="154">
        <f t="shared" si="156"/>
        <v>1.82</v>
      </c>
      <c r="N522" s="250">
        <f t="shared" si="153"/>
        <v>10.94</v>
      </c>
      <c r="O522" s="515"/>
      <c r="P522" s="515"/>
      <c r="Q522" s="515"/>
      <c r="R522" s="515"/>
      <c r="S522" s="515"/>
      <c r="T522" s="515"/>
      <c r="U522" s="515"/>
      <c r="V522" s="515"/>
      <c r="W522" s="515"/>
      <c r="X522" s="515"/>
      <c r="Y522" s="120"/>
      <c r="Z522" s="102">
        <v>1238.298686703125</v>
      </c>
      <c r="AA522" s="43">
        <v>2169.79</v>
      </c>
      <c r="AC522" s="47" t="s">
        <v>392</v>
      </c>
      <c r="AD522" s="46">
        <v>19696.099999999999</v>
      </c>
    </row>
    <row r="523" spans="1:30" s="44" customFormat="1" ht="38.25" hidden="1" x14ac:dyDescent="0.2">
      <c r="A523" s="335"/>
      <c r="B523" s="342"/>
      <c r="C523" s="228" t="s">
        <v>32</v>
      </c>
      <c r="D523" s="229"/>
      <c r="E523" s="229"/>
      <c r="F523" s="229"/>
      <c r="G523" s="229"/>
      <c r="H523" s="229"/>
      <c r="I523" s="359"/>
      <c r="J523" s="254"/>
      <c r="K523" s="299">
        <f t="shared" si="154"/>
        <v>0</v>
      </c>
      <c r="L523" s="301">
        <f t="shared" si="159"/>
        <v>0</v>
      </c>
      <c r="M523" s="154"/>
      <c r="N523" s="250"/>
      <c r="O523" s="516"/>
      <c r="P523" s="516"/>
      <c r="Q523" s="516"/>
      <c r="R523" s="516"/>
      <c r="S523" s="516"/>
      <c r="T523" s="516"/>
      <c r="U523" s="516"/>
      <c r="V523" s="516"/>
      <c r="W523" s="516"/>
      <c r="X523" s="516"/>
      <c r="Y523" s="121"/>
      <c r="Z523" s="102">
        <v>10.582415046874999</v>
      </c>
      <c r="AA523" s="43">
        <v>18.55</v>
      </c>
      <c r="AB523" s="49"/>
      <c r="AC523" s="45">
        <v>4.0000000000000001E-3</v>
      </c>
      <c r="AD523" s="46">
        <v>437.82</v>
      </c>
    </row>
    <row r="524" spans="1:30" s="20" customFormat="1" ht="165.75" hidden="1" x14ac:dyDescent="0.2">
      <c r="A524" s="335">
        <f>A522+1</f>
        <v>425</v>
      </c>
      <c r="B524" s="328" t="s">
        <v>353</v>
      </c>
      <c r="C524" s="302" t="s">
        <v>361</v>
      </c>
      <c r="D524" s="303" t="s">
        <v>354</v>
      </c>
      <c r="E524" s="303">
        <v>0.11</v>
      </c>
      <c r="F524" s="254">
        <v>1</v>
      </c>
      <c r="G524" s="254">
        <f t="shared" ref="G524:G535" si="163">F524*E524</f>
        <v>0.11</v>
      </c>
      <c r="H524" s="254">
        <v>279.35000000000002</v>
      </c>
      <c r="I524" s="359">
        <f t="shared" si="162"/>
        <v>232.79166666666669</v>
      </c>
      <c r="J524" s="254">
        <v>13.3248</v>
      </c>
      <c r="K524" s="299">
        <f t="shared" si="154"/>
        <v>3101.9</v>
      </c>
      <c r="L524" s="301">
        <f t="shared" si="159"/>
        <v>341.21</v>
      </c>
      <c r="M524" s="154">
        <f t="shared" si="156"/>
        <v>68.239999999999995</v>
      </c>
      <c r="N524" s="250">
        <f t="shared" si="153"/>
        <v>409.45</v>
      </c>
      <c r="O524" s="516"/>
      <c r="P524" s="516"/>
      <c r="Q524" s="516"/>
      <c r="R524" s="516"/>
      <c r="S524" s="516"/>
      <c r="T524" s="516"/>
      <c r="U524" s="516"/>
      <c r="V524" s="516"/>
      <c r="W524" s="516"/>
      <c r="X524" s="516"/>
      <c r="Y524" s="121"/>
      <c r="Z524" s="103">
        <v>0</v>
      </c>
      <c r="AA524" s="87">
        <v>103462.2</v>
      </c>
      <c r="AB524" s="22" t="s">
        <v>369</v>
      </c>
      <c r="AC524" s="22"/>
      <c r="AD524" s="22"/>
    </row>
    <row r="525" spans="1:30" s="20" customFormat="1" ht="178.5" hidden="1" x14ac:dyDescent="0.2">
      <c r="A525" s="350">
        <f>A524+1</f>
        <v>426</v>
      </c>
      <c r="B525" s="328" t="s">
        <v>349</v>
      </c>
      <c r="C525" s="302" t="s">
        <v>356</v>
      </c>
      <c r="D525" s="330" t="s">
        <v>355</v>
      </c>
      <c r="E525" s="330">
        <v>7.1500000000000001E-3</v>
      </c>
      <c r="F525" s="254">
        <v>1</v>
      </c>
      <c r="G525" s="254">
        <f t="shared" si="163"/>
        <v>7.1500000000000001E-3</v>
      </c>
      <c r="H525" s="254">
        <v>19696.099999999999</v>
      </c>
      <c r="I525" s="359">
        <f t="shared" si="162"/>
        <v>16413.416666666668</v>
      </c>
      <c r="J525" s="254">
        <v>13.3248</v>
      </c>
      <c r="K525" s="299">
        <f t="shared" si="154"/>
        <v>218705.49</v>
      </c>
      <c r="L525" s="301">
        <f t="shared" si="159"/>
        <v>1563.74</v>
      </c>
      <c r="M525" s="154">
        <f t="shared" si="156"/>
        <v>312.75</v>
      </c>
      <c r="N525" s="250">
        <f t="shared" si="153"/>
        <v>1876.49</v>
      </c>
      <c r="O525" s="516"/>
      <c r="P525" s="516"/>
      <c r="Q525" s="516"/>
      <c r="R525" s="516"/>
      <c r="S525" s="516"/>
      <c r="T525" s="516"/>
      <c r="U525" s="516"/>
      <c r="V525" s="516"/>
      <c r="W525" s="516"/>
      <c r="X525" s="516"/>
      <c r="Y525" s="121"/>
      <c r="Z525" s="111">
        <v>396.29175020833333</v>
      </c>
      <c r="AA525" s="42">
        <v>694.39</v>
      </c>
      <c r="AB525" s="50">
        <f>SUM(N481:N522)</f>
        <v>122014.14</v>
      </c>
      <c r="AC525" s="51"/>
      <c r="AD525" s="22"/>
    </row>
    <row r="526" spans="1:30" s="20" customFormat="1" ht="48" hidden="1" customHeight="1" x14ac:dyDescent="0.2">
      <c r="A526" s="350">
        <f>A525+1</f>
        <v>427</v>
      </c>
      <c r="B526" s="328" t="s">
        <v>347</v>
      </c>
      <c r="C526" s="302" t="s">
        <v>357</v>
      </c>
      <c r="D526" s="303" t="s">
        <v>355</v>
      </c>
      <c r="E526" s="303">
        <v>2.7500000000000003E-3</v>
      </c>
      <c r="F526" s="254">
        <v>1</v>
      </c>
      <c r="G526" s="254">
        <f t="shared" si="163"/>
        <v>2.7500000000000003E-3</v>
      </c>
      <c r="H526" s="254">
        <v>437.82</v>
      </c>
      <c r="I526" s="359">
        <f t="shared" si="162"/>
        <v>364.85</v>
      </c>
      <c r="J526" s="254">
        <v>13.3248</v>
      </c>
      <c r="K526" s="299">
        <f t="shared" si="154"/>
        <v>4861.55</v>
      </c>
      <c r="L526" s="301">
        <f t="shared" si="159"/>
        <v>13.37</v>
      </c>
      <c r="M526" s="154">
        <f t="shared" si="156"/>
        <v>2.67</v>
      </c>
      <c r="N526" s="250">
        <f t="shared" si="153"/>
        <v>16.04</v>
      </c>
      <c r="O526" s="516"/>
      <c r="P526" s="516"/>
      <c r="Q526" s="516"/>
      <c r="R526" s="516"/>
      <c r="S526" s="516"/>
      <c r="T526" s="516"/>
      <c r="U526" s="516"/>
      <c r="V526" s="516"/>
      <c r="W526" s="516"/>
      <c r="X526" s="516"/>
      <c r="Y526" s="121"/>
      <c r="Z526" s="111">
        <v>1816.1807404979168</v>
      </c>
      <c r="AA526" s="42">
        <v>3182.35</v>
      </c>
      <c r="AB526" s="52">
        <v>6.5000000000000002E-2</v>
      </c>
      <c r="AC526" s="52"/>
      <c r="AD526" s="22"/>
    </row>
    <row r="527" spans="1:30" s="20" customFormat="1" ht="165.75" hidden="1" x14ac:dyDescent="0.2">
      <c r="A527" s="350">
        <f t="shared" ref="A527:A535" si="164">A526+1</f>
        <v>428</v>
      </c>
      <c r="B527" s="328" t="s">
        <v>350</v>
      </c>
      <c r="C527" s="302" t="s">
        <v>362</v>
      </c>
      <c r="D527" s="303" t="s">
        <v>354</v>
      </c>
      <c r="E527" s="303">
        <v>0.3</v>
      </c>
      <c r="F527" s="254">
        <v>1</v>
      </c>
      <c r="G527" s="254">
        <f t="shared" si="163"/>
        <v>0.3</v>
      </c>
      <c r="H527" s="254">
        <v>279.35000000000002</v>
      </c>
      <c r="I527" s="359">
        <f t="shared" si="162"/>
        <v>232.79166666666669</v>
      </c>
      <c r="J527" s="254">
        <v>13.3248</v>
      </c>
      <c r="K527" s="299">
        <f t="shared" si="154"/>
        <v>3101.9</v>
      </c>
      <c r="L527" s="301">
        <f t="shared" si="159"/>
        <v>930.57</v>
      </c>
      <c r="M527" s="154">
        <f t="shared" si="156"/>
        <v>186.11</v>
      </c>
      <c r="N527" s="250">
        <f t="shared" si="153"/>
        <v>1116.68</v>
      </c>
      <c r="O527" s="516"/>
      <c r="P527" s="516"/>
      <c r="Q527" s="516"/>
      <c r="R527" s="516"/>
      <c r="S527" s="516"/>
      <c r="T527" s="516"/>
      <c r="U527" s="516"/>
      <c r="V527" s="516"/>
      <c r="W527" s="516"/>
      <c r="X527" s="516"/>
      <c r="Y527" s="121"/>
      <c r="Z527" s="111">
        <v>15.529542068750001</v>
      </c>
      <c r="AA527" s="42">
        <v>27.21</v>
      </c>
      <c r="AB527" s="36">
        <v>2.5000000000000001E-4</v>
      </c>
      <c r="AC527" s="52">
        <v>100</v>
      </c>
      <c r="AD527" s="22"/>
    </row>
    <row r="528" spans="1:30" s="20" customFormat="1" ht="178.5" hidden="1" x14ac:dyDescent="0.2">
      <c r="A528" s="350">
        <f t="shared" si="164"/>
        <v>429</v>
      </c>
      <c r="B528" s="328" t="s">
        <v>349</v>
      </c>
      <c r="C528" s="302" t="s">
        <v>356</v>
      </c>
      <c r="D528" s="330" t="s">
        <v>355</v>
      </c>
      <c r="E528" s="330">
        <v>1.4624999999999999E-2</v>
      </c>
      <c r="F528" s="254">
        <v>1</v>
      </c>
      <c r="G528" s="300">
        <f t="shared" si="163"/>
        <v>1.4624999999999999E-2</v>
      </c>
      <c r="H528" s="254">
        <v>19696.099999999999</v>
      </c>
      <c r="I528" s="359">
        <f t="shared" si="162"/>
        <v>16413.416666666668</v>
      </c>
      <c r="J528" s="254">
        <v>13.3248</v>
      </c>
      <c r="K528" s="299">
        <f t="shared" si="154"/>
        <v>218705.49</v>
      </c>
      <c r="L528" s="301">
        <f t="shared" si="159"/>
        <v>3198.57</v>
      </c>
      <c r="M528" s="154">
        <f t="shared" si="156"/>
        <v>639.71</v>
      </c>
      <c r="N528" s="250">
        <f t="shared" si="153"/>
        <v>3838.28</v>
      </c>
      <c r="O528" s="516"/>
      <c r="P528" s="516"/>
      <c r="Q528" s="516"/>
      <c r="R528" s="516"/>
      <c r="S528" s="516"/>
      <c r="T528" s="516"/>
      <c r="U528" s="516"/>
      <c r="V528" s="516"/>
      <c r="W528" s="516"/>
      <c r="X528" s="516"/>
      <c r="Y528" s="121"/>
      <c r="Z528" s="111">
        <v>1080.7893187499999</v>
      </c>
      <c r="AA528" s="42">
        <v>1893.79</v>
      </c>
      <c r="AB528" s="52"/>
      <c r="AC528" s="52"/>
      <c r="AD528" s="22"/>
    </row>
    <row r="529" spans="1:30" s="20" customFormat="1" ht="78.75" hidden="1" customHeight="1" x14ac:dyDescent="0.2">
      <c r="A529" s="350">
        <f t="shared" si="164"/>
        <v>430</v>
      </c>
      <c r="B529" s="328" t="s">
        <v>347</v>
      </c>
      <c r="C529" s="302" t="s">
        <v>359</v>
      </c>
      <c r="D529" s="303" t="s">
        <v>355</v>
      </c>
      <c r="E529" s="303">
        <v>5.6249999999999998E-3</v>
      </c>
      <c r="F529" s="254">
        <v>1</v>
      </c>
      <c r="G529" s="300">
        <f t="shared" si="163"/>
        <v>5.6249999999999998E-3</v>
      </c>
      <c r="H529" s="254">
        <v>437.82</v>
      </c>
      <c r="I529" s="359">
        <f t="shared" si="162"/>
        <v>364.85</v>
      </c>
      <c r="J529" s="254">
        <v>13.3248</v>
      </c>
      <c r="K529" s="299">
        <f t="shared" si="154"/>
        <v>4861.55</v>
      </c>
      <c r="L529" s="301">
        <f t="shared" si="159"/>
        <v>27.35</v>
      </c>
      <c r="M529" s="154">
        <f t="shared" si="156"/>
        <v>5.47</v>
      </c>
      <c r="N529" s="250">
        <f t="shared" si="153"/>
        <v>32.82</v>
      </c>
      <c r="O529" s="516"/>
      <c r="P529" s="516"/>
      <c r="Q529" s="516"/>
      <c r="R529" s="516"/>
      <c r="S529" s="516"/>
      <c r="T529" s="516"/>
      <c r="U529" s="516"/>
      <c r="V529" s="516"/>
      <c r="W529" s="516"/>
      <c r="X529" s="516"/>
      <c r="Y529" s="121"/>
      <c r="Z529" s="111">
        <v>3714.9060601093752</v>
      </c>
      <c r="AA529" s="42">
        <v>6509.36</v>
      </c>
      <c r="AB529" s="52">
        <v>3.15E-2</v>
      </c>
      <c r="AC529" s="52"/>
      <c r="AD529" s="22">
        <f>E529/0.25*0.65</f>
        <v>1.4624999999999999E-2</v>
      </c>
    </row>
    <row r="530" spans="1:30" s="20" customFormat="1" ht="85.5" hidden="1" customHeight="1" x14ac:dyDescent="0.2">
      <c r="A530" s="350">
        <f t="shared" si="164"/>
        <v>431</v>
      </c>
      <c r="B530" s="328" t="s">
        <v>363</v>
      </c>
      <c r="C530" s="302" t="s">
        <v>364</v>
      </c>
      <c r="D530" s="303" t="s">
        <v>354</v>
      </c>
      <c r="E530" s="303">
        <v>1.7000000000000001E-2</v>
      </c>
      <c r="F530" s="254">
        <v>1</v>
      </c>
      <c r="G530" s="254">
        <f t="shared" si="163"/>
        <v>1.7000000000000001E-2</v>
      </c>
      <c r="H530" s="254">
        <v>476.42</v>
      </c>
      <c r="I530" s="359">
        <f t="shared" si="162"/>
        <v>397.01666666666671</v>
      </c>
      <c r="J530" s="254">
        <v>13.3248</v>
      </c>
      <c r="K530" s="299">
        <f t="shared" si="154"/>
        <v>5290.17</v>
      </c>
      <c r="L530" s="301">
        <f t="shared" si="159"/>
        <v>89.93</v>
      </c>
      <c r="M530" s="154">
        <f t="shared" si="156"/>
        <v>17.989999999999998</v>
      </c>
      <c r="N530" s="250">
        <f t="shared" ref="N530:N542" si="165">ROUND(L530+M530,2)</f>
        <v>107.92</v>
      </c>
      <c r="O530" s="516"/>
      <c r="P530" s="516"/>
      <c r="Q530" s="516"/>
      <c r="R530" s="516"/>
      <c r="S530" s="516"/>
      <c r="T530" s="516"/>
      <c r="U530" s="516"/>
      <c r="V530" s="516"/>
      <c r="W530" s="516"/>
      <c r="X530" s="516"/>
      <c r="Y530" s="121"/>
      <c r="Z530" s="111">
        <v>31.757245140624999</v>
      </c>
      <c r="AA530" s="42">
        <v>55.65</v>
      </c>
      <c r="AB530" s="36">
        <v>2.5000000000000001E-4</v>
      </c>
      <c r="AC530" s="52">
        <v>75</v>
      </c>
      <c r="AD530" s="22"/>
    </row>
    <row r="531" spans="1:30" s="20" customFormat="1" ht="83.25" hidden="1" customHeight="1" x14ac:dyDescent="0.2">
      <c r="A531" s="350">
        <f t="shared" si="164"/>
        <v>432</v>
      </c>
      <c r="B531" s="328" t="s">
        <v>349</v>
      </c>
      <c r="C531" s="302" t="s">
        <v>358</v>
      </c>
      <c r="D531" s="330" t="s">
        <v>355</v>
      </c>
      <c r="E531" s="330">
        <v>3.5360000000000009E-2</v>
      </c>
      <c r="F531" s="254">
        <v>1</v>
      </c>
      <c r="G531" s="300">
        <f t="shared" si="163"/>
        <v>3.5360000000000009E-2</v>
      </c>
      <c r="H531" s="254">
        <v>19696.099999999999</v>
      </c>
      <c r="I531" s="359">
        <f t="shared" si="162"/>
        <v>16413.416666666668</v>
      </c>
      <c r="J531" s="254">
        <v>13.3248</v>
      </c>
      <c r="K531" s="299">
        <f t="shared" si="154"/>
        <v>218705.49</v>
      </c>
      <c r="L531" s="301">
        <f t="shared" si="159"/>
        <v>7733.43</v>
      </c>
      <c r="M531" s="154">
        <f t="shared" si="156"/>
        <v>1546.69</v>
      </c>
      <c r="N531" s="250">
        <f t="shared" si="165"/>
        <v>9280.1200000000008</v>
      </c>
      <c r="O531" s="516"/>
      <c r="P531" s="516"/>
      <c r="Q531" s="516"/>
      <c r="R531" s="516"/>
      <c r="S531" s="516"/>
      <c r="T531" s="516"/>
      <c r="U531" s="516"/>
      <c r="V531" s="516"/>
      <c r="W531" s="516"/>
      <c r="X531" s="516"/>
      <c r="Y531" s="121"/>
      <c r="Z531" s="111">
        <v>104.45213250833335</v>
      </c>
      <c r="AA531" s="42">
        <v>183.02</v>
      </c>
      <c r="AB531" s="52"/>
      <c r="AC531" s="52"/>
      <c r="AD531" s="22"/>
    </row>
    <row r="532" spans="1:30" s="20" customFormat="1" ht="57" hidden="1" customHeight="1" x14ac:dyDescent="0.2">
      <c r="A532" s="350">
        <f t="shared" si="164"/>
        <v>433</v>
      </c>
      <c r="B532" s="328" t="s">
        <v>347</v>
      </c>
      <c r="C532" s="302" t="s">
        <v>357</v>
      </c>
      <c r="D532" s="303" t="s">
        <v>355</v>
      </c>
      <c r="E532" s="303">
        <v>1.3600000000000003E-2</v>
      </c>
      <c r="F532" s="254">
        <v>1</v>
      </c>
      <c r="G532" s="254">
        <f t="shared" si="163"/>
        <v>1.3600000000000003E-2</v>
      </c>
      <c r="H532" s="254">
        <v>437.82</v>
      </c>
      <c r="I532" s="359">
        <f t="shared" si="162"/>
        <v>364.85</v>
      </c>
      <c r="J532" s="254">
        <v>13.3248</v>
      </c>
      <c r="K532" s="299">
        <f t="shared" si="154"/>
        <v>4861.55</v>
      </c>
      <c r="L532" s="301">
        <f t="shared" si="159"/>
        <v>66.12</v>
      </c>
      <c r="M532" s="154">
        <f t="shared" si="156"/>
        <v>13.22</v>
      </c>
      <c r="N532" s="250">
        <f t="shared" si="165"/>
        <v>79.34</v>
      </c>
      <c r="O532" s="516"/>
      <c r="P532" s="516"/>
      <c r="Q532" s="516"/>
      <c r="R532" s="516"/>
      <c r="S532" s="516"/>
      <c r="T532" s="516"/>
      <c r="U532" s="516"/>
      <c r="V532" s="516"/>
      <c r="W532" s="516"/>
      <c r="X532" s="516"/>
      <c r="Y532" s="121"/>
      <c r="Z532" s="111">
        <v>8981.8202075533354</v>
      </c>
      <c r="AA532" s="42">
        <v>15738.19</v>
      </c>
      <c r="AB532" s="52">
        <v>0.33600000000000002</v>
      </c>
      <c r="AC532" s="52"/>
      <c r="AD532" s="22">
        <f>E532/0.25*0.65</f>
        <v>3.5360000000000009E-2</v>
      </c>
    </row>
    <row r="533" spans="1:30" s="20" customFormat="1" ht="216.75" hidden="1" x14ac:dyDescent="0.2">
      <c r="A533" s="350">
        <f t="shared" si="164"/>
        <v>434</v>
      </c>
      <c r="B533" s="328" t="s">
        <v>365</v>
      </c>
      <c r="C533" s="302" t="s">
        <v>366</v>
      </c>
      <c r="D533" s="330" t="s">
        <v>411</v>
      </c>
      <c r="E533" s="330">
        <v>0.43319999999999997</v>
      </c>
      <c r="F533" s="254">
        <v>1</v>
      </c>
      <c r="G533" s="254">
        <f t="shared" si="163"/>
        <v>0.43319999999999997</v>
      </c>
      <c r="H533" s="254">
        <v>262.08</v>
      </c>
      <c r="I533" s="359">
        <f t="shared" si="162"/>
        <v>218.4</v>
      </c>
      <c r="J533" s="254">
        <v>13.3248</v>
      </c>
      <c r="K533" s="299">
        <f t="shared" ref="K533:K542" si="166">ROUND(I533*J533,2)</f>
        <v>2910.14</v>
      </c>
      <c r="L533" s="301">
        <f t="shared" si="159"/>
        <v>1260.67</v>
      </c>
      <c r="M533" s="154">
        <f t="shared" ref="M533:M542" si="167">ROUND(L533*0.2,2)</f>
        <v>252.13</v>
      </c>
      <c r="N533" s="250">
        <f t="shared" si="165"/>
        <v>1512.8</v>
      </c>
      <c r="O533" s="516"/>
      <c r="P533" s="516"/>
      <c r="Q533" s="516"/>
      <c r="R533" s="516"/>
      <c r="S533" s="516"/>
      <c r="T533" s="516"/>
      <c r="U533" s="516"/>
      <c r="V533" s="516"/>
      <c r="W533" s="516"/>
      <c r="X533" s="516"/>
      <c r="Y533" s="121"/>
      <c r="Z533" s="111">
        <v>76.79191714000001</v>
      </c>
      <c r="AA533" s="42">
        <v>134.55000000000001</v>
      </c>
      <c r="AB533" s="36">
        <v>2.5000000000000001E-4</v>
      </c>
      <c r="AC533" s="52">
        <v>3200</v>
      </c>
      <c r="AD533" s="22"/>
    </row>
    <row r="534" spans="1:30" s="20" customFormat="1" ht="178.5" hidden="1" x14ac:dyDescent="0.2">
      <c r="A534" s="350">
        <f t="shared" si="164"/>
        <v>435</v>
      </c>
      <c r="B534" s="328" t="s">
        <v>349</v>
      </c>
      <c r="C534" s="302" t="s">
        <v>356</v>
      </c>
      <c r="D534" s="330" t="s">
        <v>355</v>
      </c>
      <c r="E534" s="332">
        <v>2.8157999999999999E-2</v>
      </c>
      <c r="F534" s="254">
        <v>1</v>
      </c>
      <c r="G534" s="300">
        <f t="shared" si="163"/>
        <v>2.8157999999999999E-2</v>
      </c>
      <c r="H534" s="254">
        <v>19696.099999999999</v>
      </c>
      <c r="I534" s="359">
        <f t="shared" si="162"/>
        <v>16413.416666666668</v>
      </c>
      <c r="J534" s="254">
        <v>13.3248</v>
      </c>
      <c r="K534" s="299">
        <f t="shared" si="166"/>
        <v>218705.49</v>
      </c>
      <c r="L534" s="301">
        <f t="shared" si="159"/>
        <v>6158.31</v>
      </c>
      <c r="M534" s="154">
        <f t="shared" si="167"/>
        <v>1231.6600000000001</v>
      </c>
      <c r="N534" s="250">
        <f t="shared" si="165"/>
        <v>7389.97</v>
      </c>
      <c r="O534" s="516"/>
      <c r="P534" s="516"/>
      <c r="Q534" s="516"/>
      <c r="R534" s="516"/>
      <c r="S534" s="516"/>
      <c r="T534" s="516"/>
      <c r="U534" s="516"/>
      <c r="V534" s="516"/>
      <c r="W534" s="516"/>
      <c r="X534" s="516"/>
      <c r="Y534" s="121"/>
      <c r="Z534" s="111">
        <v>1464.1792139199999</v>
      </c>
      <c r="AA534" s="42">
        <v>2565.58</v>
      </c>
      <c r="AB534" s="52"/>
      <c r="AC534" s="52"/>
      <c r="AD534" s="22"/>
    </row>
    <row r="535" spans="1:30" s="20" customFormat="1" ht="87.75" hidden="1" customHeight="1" x14ac:dyDescent="0.2">
      <c r="A535" s="350">
        <f t="shared" si="164"/>
        <v>436</v>
      </c>
      <c r="B535" s="328" t="s">
        <v>347</v>
      </c>
      <c r="C535" s="302" t="s">
        <v>357</v>
      </c>
      <c r="D535" s="303" t="s">
        <v>355</v>
      </c>
      <c r="E535" s="303">
        <v>1.0829999999999999E-2</v>
      </c>
      <c r="F535" s="254">
        <v>1</v>
      </c>
      <c r="G535" s="300">
        <f t="shared" si="163"/>
        <v>1.0829999999999999E-2</v>
      </c>
      <c r="H535" s="254">
        <v>437.82</v>
      </c>
      <c r="I535" s="359">
        <f t="shared" si="162"/>
        <v>364.85</v>
      </c>
      <c r="J535" s="254">
        <v>13.3248</v>
      </c>
      <c r="K535" s="299">
        <f t="shared" si="166"/>
        <v>4861.55</v>
      </c>
      <c r="L535" s="301">
        <f t="shared" si="159"/>
        <v>52.65</v>
      </c>
      <c r="M535" s="154">
        <f t="shared" si="167"/>
        <v>10.53</v>
      </c>
      <c r="N535" s="250">
        <f t="shared" si="165"/>
        <v>63.18</v>
      </c>
      <c r="O535" s="516"/>
      <c r="P535" s="516"/>
      <c r="Q535" s="516"/>
      <c r="R535" s="516"/>
      <c r="S535" s="516"/>
      <c r="T535" s="516"/>
      <c r="U535" s="516"/>
      <c r="V535" s="516"/>
      <c r="W535" s="516"/>
      <c r="X535" s="516"/>
      <c r="Y535" s="121"/>
      <c r="Z535" s="111">
        <v>7152.4323343972492</v>
      </c>
      <c r="AA535" s="42">
        <v>12532.69</v>
      </c>
      <c r="AB535" s="52">
        <v>7.8E-2</v>
      </c>
      <c r="AC535" s="52"/>
      <c r="AD535" s="22">
        <f>E535/0.25*0.65</f>
        <v>2.8157999999999999E-2</v>
      </c>
    </row>
    <row r="536" spans="1:30" s="20" customFormat="1" ht="63.75" hidden="1" x14ac:dyDescent="0.2">
      <c r="A536" s="335"/>
      <c r="B536" s="257"/>
      <c r="C536" s="228" t="s">
        <v>33</v>
      </c>
      <c r="D536" s="229"/>
      <c r="E536" s="229"/>
      <c r="F536" s="229"/>
      <c r="G536" s="229"/>
      <c r="H536" s="217"/>
      <c r="I536" s="359"/>
      <c r="J536" s="254"/>
      <c r="K536" s="299"/>
      <c r="L536" s="301"/>
      <c r="M536" s="154"/>
      <c r="N536" s="250"/>
      <c r="O536" s="516"/>
      <c r="P536" s="516"/>
      <c r="Q536" s="516"/>
      <c r="R536" s="516"/>
      <c r="S536" s="516"/>
      <c r="T536" s="516"/>
      <c r="U536" s="516"/>
      <c r="V536" s="516"/>
      <c r="W536" s="516"/>
      <c r="X536" s="516"/>
      <c r="Y536" s="121"/>
      <c r="Z536" s="111">
        <v>61.148269310749995</v>
      </c>
      <c r="AA536" s="42">
        <v>107.15</v>
      </c>
      <c r="AB536" s="36">
        <v>2.5000000000000001E-4</v>
      </c>
      <c r="AC536" s="52">
        <v>100</v>
      </c>
      <c r="AD536" s="22"/>
    </row>
    <row r="537" spans="1:30" s="20" customFormat="1" ht="165.75" hidden="1" x14ac:dyDescent="0.2">
      <c r="A537" s="350">
        <f>A535+1</f>
        <v>437</v>
      </c>
      <c r="B537" s="245" t="s">
        <v>353</v>
      </c>
      <c r="C537" s="302" t="s">
        <v>368</v>
      </c>
      <c r="D537" s="303" t="s">
        <v>354</v>
      </c>
      <c r="E537" s="254">
        <v>0.2</v>
      </c>
      <c r="F537" s="254">
        <v>1</v>
      </c>
      <c r="G537" s="303">
        <f t="shared" ref="G537:G542" si="168">E537*F537</f>
        <v>0.2</v>
      </c>
      <c r="H537" s="254">
        <v>279.35000000000002</v>
      </c>
      <c r="I537" s="359">
        <f t="shared" si="162"/>
        <v>232.79166666666669</v>
      </c>
      <c r="J537" s="254">
        <v>13.3248</v>
      </c>
      <c r="K537" s="299">
        <f t="shared" si="166"/>
        <v>3101.9</v>
      </c>
      <c r="L537" s="301">
        <f t="shared" si="159"/>
        <v>620.38</v>
      </c>
      <c r="M537" s="154">
        <f t="shared" si="167"/>
        <v>124.08</v>
      </c>
      <c r="N537" s="250">
        <f t="shared" si="165"/>
        <v>744.46</v>
      </c>
      <c r="O537" s="516"/>
      <c r="P537" s="516"/>
      <c r="Q537" s="516"/>
      <c r="R537" s="516"/>
      <c r="S537" s="516"/>
      <c r="T537" s="516"/>
      <c r="U537" s="516"/>
      <c r="V537" s="516"/>
      <c r="W537" s="516"/>
      <c r="X537" s="516"/>
      <c r="Y537" s="121"/>
      <c r="Z537" s="103"/>
      <c r="AA537" s="85">
        <v>21811.99</v>
      </c>
      <c r="AB537" s="19">
        <f>N524+N525+N526+N527+N528+N529+N530+N531+N532+N533+N534+N535</f>
        <v>25723.090000000004</v>
      </c>
      <c r="AC537" s="22"/>
      <c r="AD537" s="22"/>
    </row>
    <row r="538" spans="1:30" s="20" customFormat="1" ht="37.5" hidden="1" customHeight="1" x14ac:dyDescent="0.2">
      <c r="A538" s="350">
        <f>A537+1</f>
        <v>438</v>
      </c>
      <c r="B538" s="245" t="s">
        <v>349</v>
      </c>
      <c r="C538" s="302" t="s">
        <v>356</v>
      </c>
      <c r="D538" s="330" t="s">
        <v>355</v>
      </c>
      <c r="E538" s="254">
        <v>1.2999999999999999E-2</v>
      </c>
      <c r="F538" s="254">
        <v>1</v>
      </c>
      <c r="G538" s="303">
        <f t="shared" si="168"/>
        <v>1.2999999999999999E-2</v>
      </c>
      <c r="H538" s="254">
        <v>19696.099999999999</v>
      </c>
      <c r="I538" s="359">
        <f t="shared" si="162"/>
        <v>16413.416666666668</v>
      </c>
      <c r="J538" s="254">
        <v>13.3248</v>
      </c>
      <c r="K538" s="299">
        <f t="shared" si="166"/>
        <v>218705.49</v>
      </c>
      <c r="L538" s="301">
        <f t="shared" si="159"/>
        <v>2843.17</v>
      </c>
      <c r="M538" s="154">
        <f t="shared" si="167"/>
        <v>568.63</v>
      </c>
      <c r="N538" s="250">
        <f t="shared" si="165"/>
        <v>3411.8</v>
      </c>
      <c r="O538" s="516"/>
      <c r="P538" s="516"/>
      <c r="Q538" s="516"/>
      <c r="R538" s="516"/>
      <c r="S538" s="516"/>
      <c r="T538" s="516"/>
      <c r="U538" s="516"/>
      <c r="V538" s="516"/>
      <c r="W538" s="516"/>
      <c r="X538" s="516"/>
      <c r="Y538" s="121"/>
      <c r="Z538" s="111">
        <v>720.52954583333337</v>
      </c>
      <c r="AA538" s="42">
        <v>1262.53</v>
      </c>
      <c r="AB538" s="51"/>
      <c r="AC538" s="22"/>
      <c r="AD538" s="22"/>
    </row>
    <row r="539" spans="1:30" s="20" customFormat="1" ht="23.25" hidden="1" customHeight="1" x14ac:dyDescent="0.2">
      <c r="A539" s="350">
        <f>A538+1</f>
        <v>439</v>
      </c>
      <c r="B539" s="245" t="s">
        <v>347</v>
      </c>
      <c r="C539" s="302" t="s">
        <v>357</v>
      </c>
      <c r="D539" s="303" t="s">
        <v>355</v>
      </c>
      <c r="E539" s="254">
        <v>5.0000000000000001E-3</v>
      </c>
      <c r="F539" s="254">
        <v>1</v>
      </c>
      <c r="G539" s="303">
        <f t="shared" si="168"/>
        <v>5.0000000000000001E-3</v>
      </c>
      <c r="H539" s="254">
        <v>437.82</v>
      </c>
      <c r="I539" s="359">
        <f t="shared" si="162"/>
        <v>364.85</v>
      </c>
      <c r="J539" s="254">
        <v>13.3248</v>
      </c>
      <c r="K539" s="299">
        <f t="shared" si="166"/>
        <v>4861.55</v>
      </c>
      <c r="L539" s="301">
        <f t="shared" si="159"/>
        <v>24.31</v>
      </c>
      <c r="M539" s="154">
        <f t="shared" si="167"/>
        <v>4.8600000000000003</v>
      </c>
      <c r="N539" s="250">
        <f t="shared" si="165"/>
        <v>29.17</v>
      </c>
      <c r="O539" s="516"/>
      <c r="P539" s="516"/>
      <c r="Q539" s="516"/>
      <c r="R539" s="516"/>
      <c r="S539" s="516"/>
      <c r="T539" s="516"/>
      <c r="U539" s="516"/>
      <c r="V539" s="516"/>
      <c r="W539" s="516"/>
      <c r="X539" s="516"/>
      <c r="Y539" s="121"/>
      <c r="Z539" s="111">
        <v>3302.1431645416669</v>
      </c>
      <c r="AA539" s="42">
        <v>5786.1</v>
      </c>
      <c r="AB539" s="51"/>
      <c r="AC539" s="22"/>
      <c r="AD539" s="22"/>
    </row>
    <row r="540" spans="1:30" s="20" customFormat="1" ht="46.5" hidden="1" customHeight="1" x14ac:dyDescent="0.2">
      <c r="A540" s="350">
        <f>A539+1</f>
        <v>440</v>
      </c>
      <c r="B540" s="245" t="s">
        <v>363</v>
      </c>
      <c r="C540" s="302" t="s">
        <v>400</v>
      </c>
      <c r="D540" s="303" t="s">
        <v>354</v>
      </c>
      <c r="E540" s="254">
        <v>7.0000000000000001E-3</v>
      </c>
      <c r="F540" s="254">
        <v>1</v>
      </c>
      <c r="G540" s="303">
        <f t="shared" si="168"/>
        <v>7.0000000000000001E-3</v>
      </c>
      <c r="H540" s="254">
        <v>279.35000000000002</v>
      </c>
      <c r="I540" s="359">
        <f t="shared" si="162"/>
        <v>232.79166666666669</v>
      </c>
      <c r="J540" s="254">
        <v>13.3248</v>
      </c>
      <c r="K540" s="299">
        <f t="shared" si="166"/>
        <v>3101.9</v>
      </c>
      <c r="L540" s="301">
        <f t="shared" si="159"/>
        <v>21.71</v>
      </c>
      <c r="M540" s="154">
        <f t="shared" si="167"/>
        <v>4.34</v>
      </c>
      <c r="N540" s="250">
        <f t="shared" si="165"/>
        <v>26.05</v>
      </c>
      <c r="O540" s="516"/>
      <c r="P540" s="516"/>
      <c r="Q540" s="516"/>
      <c r="R540" s="516"/>
      <c r="S540" s="516"/>
      <c r="T540" s="516"/>
      <c r="U540" s="516"/>
      <c r="V540" s="516"/>
      <c r="W540" s="516"/>
      <c r="X540" s="516"/>
      <c r="Y540" s="121"/>
      <c r="Z540" s="111">
        <v>28.236440125000001</v>
      </c>
      <c r="AA540" s="42">
        <v>49.47</v>
      </c>
      <c r="AB540" s="51"/>
      <c r="AC540" s="22"/>
      <c r="AD540" s="22"/>
    </row>
    <row r="541" spans="1:30" s="20" customFormat="1" ht="39" hidden="1" customHeight="1" x14ac:dyDescent="0.2">
      <c r="A541" s="350">
        <f>A540+1</f>
        <v>441</v>
      </c>
      <c r="B541" s="245" t="s">
        <v>349</v>
      </c>
      <c r="C541" s="302" t="s">
        <v>356</v>
      </c>
      <c r="D541" s="330" t="s">
        <v>355</v>
      </c>
      <c r="E541" s="254">
        <v>1.82E-3</v>
      </c>
      <c r="F541" s="254">
        <v>1</v>
      </c>
      <c r="G541" s="303">
        <f t="shared" si="168"/>
        <v>1.82E-3</v>
      </c>
      <c r="H541" s="254">
        <v>19696.099999999999</v>
      </c>
      <c r="I541" s="359">
        <f t="shared" si="162"/>
        <v>16413.416666666668</v>
      </c>
      <c r="J541" s="254">
        <v>13.3248</v>
      </c>
      <c r="K541" s="299">
        <f t="shared" si="166"/>
        <v>218705.49</v>
      </c>
      <c r="L541" s="301">
        <f t="shared" si="159"/>
        <v>398.04</v>
      </c>
      <c r="M541" s="154">
        <f t="shared" si="167"/>
        <v>79.61</v>
      </c>
      <c r="N541" s="250">
        <f t="shared" si="165"/>
        <v>477.65</v>
      </c>
      <c r="O541" s="516"/>
      <c r="P541" s="516"/>
      <c r="Q541" s="516"/>
      <c r="R541" s="516"/>
      <c r="S541" s="516"/>
      <c r="T541" s="516"/>
      <c r="U541" s="516"/>
      <c r="V541" s="516"/>
      <c r="W541" s="516"/>
      <c r="X541" s="516"/>
      <c r="Y541" s="121"/>
      <c r="Z541" s="111">
        <v>25.215384104166667</v>
      </c>
      <c r="AA541" s="42">
        <v>44.19</v>
      </c>
      <c r="AB541" s="51"/>
      <c r="AC541" s="22"/>
      <c r="AD541" s="22"/>
    </row>
    <row r="542" spans="1:30" s="20" customFormat="1" ht="60.75" hidden="1" customHeight="1" x14ac:dyDescent="0.2">
      <c r="A542" s="350">
        <f>A541+1</f>
        <v>442</v>
      </c>
      <c r="B542" s="245" t="s">
        <v>347</v>
      </c>
      <c r="C542" s="302" t="s">
        <v>357</v>
      </c>
      <c r="D542" s="303" t="s">
        <v>355</v>
      </c>
      <c r="E542" s="254">
        <v>6.9999999999999999E-4</v>
      </c>
      <c r="F542" s="254">
        <v>1</v>
      </c>
      <c r="G542" s="303">
        <f t="shared" si="168"/>
        <v>6.9999999999999999E-4</v>
      </c>
      <c r="H542" s="254">
        <v>437.82</v>
      </c>
      <c r="I542" s="359">
        <f t="shared" si="162"/>
        <v>364.85</v>
      </c>
      <c r="J542" s="254">
        <v>13.3248</v>
      </c>
      <c r="K542" s="299">
        <f t="shared" si="166"/>
        <v>4861.55</v>
      </c>
      <c r="L542" s="301">
        <f t="shared" si="159"/>
        <v>3.4</v>
      </c>
      <c r="M542" s="154">
        <f t="shared" si="167"/>
        <v>0.68</v>
      </c>
      <c r="N542" s="250">
        <f t="shared" si="165"/>
        <v>4.08</v>
      </c>
      <c r="O542" s="516"/>
      <c r="P542" s="516"/>
      <c r="Q542" s="516"/>
      <c r="R542" s="516"/>
      <c r="S542" s="516"/>
      <c r="T542" s="516"/>
      <c r="U542" s="516"/>
      <c r="V542" s="516"/>
      <c r="W542" s="516"/>
      <c r="X542" s="516"/>
      <c r="Y542" s="155">
        <v>152430.43999999994</v>
      </c>
      <c r="Z542" s="111">
        <v>462.29964303583336</v>
      </c>
      <c r="AA542" s="42">
        <v>810.05</v>
      </c>
      <c r="AB542" s="51"/>
      <c r="AC542" s="22"/>
      <c r="AD542" s="22"/>
    </row>
    <row r="543" spans="1:30" s="20" customFormat="1" ht="12.75" hidden="1" x14ac:dyDescent="0.2">
      <c r="A543" s="350"/>
      <c r="B543" s="245"/>
      <c r="C543" s="302"/>
      <c r="D543" s="303"/>
      <c r="E543" s="254"/>
      <c r="F543" s="254"/>
      <c r="G543" s="303"/>
      <c r="H543" s="254"/>
      <c r="I543" s="359"/>
      <c r="J543" s="254"/>
      <c r="K543" s="299"/>
      <c r="L543" s="301"/>
      <c r="M543" s="154"/>
      <c r="N543" s="73"/>
      <c r="O543" s="536">
        <v>152430.43999999994</v>
      </c>
      <c r="P543" s="517"/>
      <c r="Q543" s="517"/>
      <c r="R543" s="517"/>
      <c r="S543" s="517"/>
      <c r="T543" s="517"/>
      <c r="U543" s="517"/>
      <c r="V543" s="517"/>
      <c r="W543" s="517"/>
      <c r="X543" s="517"/>
      <c r="Y543" s="256"/>
      <c r="Z543" s="111"/>
      <c r="AA543" s="42"/>
      <c r="AB543" s="51"/>
      <c r="AC543" s="22"/>
      <c r="AD543" s="22"/>
    </row>
    <row r="544" spans="1:30" s="20" customFormat="1" ht="25.5" hidden="1" x14ac:dyDescent="0.2">
      <c r="A544" s="335"/>
      <c r="B544" s="361"/>
      <c r="C544" s="224" t="s">
        <v>452</v>
      </c>
      <c r="D544" s="266"/>
      <c r="E544" s="266"/>
      <c r="F544" s="240"/>
      <c r="G544" s="309"/>
      <c r="H544" s="267"/>
      <c r="I544" s="267"/>
      <c r="J544" s="267"/>
      <c r="K544" s="267"/>
      <c r="L544" s="267">
        <f>SUM(L342:L542)-0.05</f>
        <v>9945860.950000003</v>
      </c>
      <c r="M544" s="234">
        <f>ROUND(L544*0.2,2)</f>
        <v>1989172.19</v>
      </c>
      <c r="N544" s="265">
        <f>L544+M544</f>
        <v>11935033.140000002</v>
      </c>
      <c r="O544" s="265"/>
      <c r="P544" s="265"/>
      <c r="Q544" s="265"/>
      <c r="R544" s="265"/>
      <c r="S544" s="265"/>
      <c r="T544" s="265"/>
      <c r="U544" s="265"/>
      <c r="V544" s="265"/>
      <c r="W544" s="265"/>
      <c r="X544" s="265"/>
      <c r="Y544" s="10"/>
      <c r="Z544" s="111">
        <v>3.9537016175000002</v>
      </c>
      <c r="AA544" s="42">
        <v>6.93</v>
      </c>
      <c r="AB544" s="58">
        <f>N537+N538+N539+N540+N541+N542</f>
        <v>4693.21</v>
      </c>
      <c r="AC544" s="22"/>
      <c r="AD544" s="22"/>
    </row>
    <row r="545" spans="1:33" s="20" customFormat="1" ht="12.75" x14ac:dyDescent="0.2">
      <c r="A545" s="335"/>
      <c r="B545" s="285"/>
      <c r="C545" s="218" t="s">
        <v>240</v>
      </c>
      <c r="D545" s="284"/>
      <c r="E545" s="286"/>
      <c r="F545" s="286"/>
      <c r="G545" s="286"/>
      <c r="H545" s="286"/>
      <c r="I545" s="286"/>
      <c r="J545" s="336"/>
      <c r="K545" s="336"/>
      <c r="L545" s="337"/>
      <c r="M545" s="9"/>
      <c r="N545" s="338"/>
      <c r="O545" s="338" t="s">
        <v>408</v>
      </c>
      <c r="P545" s="338" t="s">
        <v>409</v>
      </c>
      <c r="Q545" s="338" t="s">
        <v>74</v>
      </c>
      <c r="R545" s="338" t="s">
        <v>533</v>
      </c>
      <c r="S545" s="338" t="s">
        <v>75</v>
      </c>
      <c r="T545" s="338"/>
      <c r="U545" s="338"/>
      <c r="V545" s="338"/>
      <c r="W545" s="338"/>
      <c r="X545" s="338"/>
      <c r="Y545" s="61"/>
      <c r="Z545" s="99">
        <v>6055094.1374444291</v>
      </c>
      <c r="AA545" s="18">
        <v>17397213.709999997</v>
      </c>
      <c r="AB545" s="83">
        <v>14589512</v>
      </c>
      <c r="AC545" s="22"/>
      <c r="AD545" s="22"/>
    </row>
    <row r="546" spans="1:33" s="20" customFormat="1" ht="25.5" x14ac:dyDescent="0.2">
      <c r="A546" s="335"/>
      <c r="B546" s="285"/>
      <c r="C546" s="218" t="s">
        <v>146</v>
      </c>
      <c r="D546" s="284"/>
      <c r="E546" s="286"/>
      <c r="F546" s="286"/>
      <c r="G546" s="286"/>
      <c r="H546" s="286"/>
      <c r="I546" s="286"/>
      <c r="J546" s="336"/>
      <c r="K546" s="336"/>
      <c r="L546" s="337"/>
      <c r="M546" s="9"/>
      <c r="N546" s="338"/>
      <c r="O546" s="534">
        <f>O590</f>
        <v>4492440.3399999989</v>
      </c>
      <c r="P546" s="531">
        <f>O613</f>
        <v>7692185.8600000003</v>
      </c>
      <c r="Q546" s="540"/>
      <c r="R546" s="541">
        <f>O618</f>
        <v>168956.72999999998</v>
      </c>
      <c r="S546" s="532">
        <f>O625</f>
        <v>5838.35</v>
      </c>
      <c r="T546" s="338"/>
      <c r="U546" s="338"/>
      <c r="V546" s="338"/>
      <c r="W546" s="338"/>
      <c r="X546" s="338"/>
      <c r="Y546" s="61">
        <f>Y548+Y550</f>
        <v>16672307.9</v>
      </c>
      <c r="Z546" s="183">
        <f>SUM(N548:N589)</f>
        <v>4492440.3399999989</v>
      </c>
      <c r="AA546" s="183"/>
      <c r="AB546" s="19"/>
      <c r="AC546" s="19"/>
      <c r="AD546" s="19"/>
      <c r="AE546" s="40"/>
      <c r="AG546" s="40">
        <f>AE546+AF546</f>
        <v>0</v>
      </c>
    </row>
    <row r="547" spans="1:33" s="20" customFormat="1" ht="25.5" x14ac:dyDescent="0.2">
      <c r="A547" s="335"/>
      <c r="B547" s="307"/>
      <c r="C547" s="224" t="s">
        <v>147</v>
      </c>
      <c r="D547" s="362"/>
      <c r="E547" s="362"/>
      <c r="F547" s="362"/>
      <c r="G547" s="362"/>
      <c r="H547" s="362"/>
      <c r="I547" s="362"/>
      <c r="J547" s="362"/>
      <c r="K547" s="362"/>
      <c r="L547" s="362"/>
      <c r="M547" s="363"/>
      <c r="N547" s="172"/>
      <c r="O547" s="171">
        <f>O546+R547+S546</f>
        <v>4565861.3819999984</v>
      </c>
      <c r="P547" s="171">
        <f>P546+R548</f>
        <v>7793559.898</v>
      </c>
      <c r="Q547" s="172"/>
      <c r="R547" s="171">
        <f>R546*0.4</f>
        <v>67582.691999999995</v>
      </c>
      <c r="S547" s="171">
        <f>O546+P546+R546+S546</f>
        <v>12359421.279999999</v>
      </c>
      <c r="T547" s="172"/>
      <c r="U547" s="172"/>
      <c r="V547" s="172"/>
      <c r="W547" s="172"/>
      <c r="X547" s="172"/>
      <c r="Y547" s="23" t="s">
        <v>540</v>
      </c>
      <c r="Z547" s="96"/>
      <c r="AA547" s="18"/>
      <c r="AB547" s="19"/>
      <c r="AC547" s="19"/>
      <c r="AD547" s="19"/>
      <c r="AE547" s="40"/>
      <c r="AG547" s="40"/>
    </row>
    <row r="548" spans="1:33" s="20" customFormat="1" ht="51" x14ac:dyDescent="0.2">
      <c r="A548" s="335">
        <f>A542+1</f>
        <v>443</v>
      </c>
      <c r="B548" s="257" t="s">
        <v>456</v>
      </c>
      <c r="C548" s="554" t="s">
        <v>457</v>
      </c>
      <c r="D548" s="318" t="s">
        <v>519</v>
      </c>
      <c r="E548" s="354">
        <v>100</v>
      </c>
      <c r="F548" s="355">
        <v>1</v>
      </c>
      <c r="G548" s="254">
        <f>ROUND(E548*F548,2)</f>
        <v>100</v>
      </c>
      <c r="H548" s="298"/>
      <c r="I548" s="299">
        <v>8.66</v>
      </c>
      <c r="J548" s="300">
        <v>1.9442999999999999</v>
      </c>
      <c r="K548" s="299">
        <f>ROUND(I548*J548,2)</f>
        <v>16.84</v>
      </c>
      <c r="L548" s="301">
        <f>ROUND(K548*G548,2)</f>
        <v>1684</v>
      </c>
      <c r="M548" s="154">
        <f>ROUND(L548*0.2,2)</f>
        <v>336.8</v>
      </c>
      <c r="N548" s="73">
        <f t="shared" ref="N548:N558" si="169">ROUND(L548+M548,2)</f>
        <v>2020.8</v>
      </c>
      <c r="O548" s="73"/>
      <c r="P548" s="73"/>
      <c r="Q548" s="73"/>
      <c r="R548" s="73">
        <f>R546-R547</f>
        <v>101374.03799999999</v>
      </c>
      <c r="S548" s="73"/>
      <c r="T548" s="73"/>
      <c r="U548" s="73"/>
      <c r="V548" s="73"/>
      <c r="W548" s="73"/>
      <c r="X548" s="73"/>
      <c r="Y548" s="150">
        <f>5115783.11+Y624+Z618</f>
        <v>5193659.18</v>
      </c>
      <c r="Z548" s="98"/>
      <c r="AA548" s="18"/>
      <c r="AB548" s="60"/>
      <c r="AC548" s="60"/>
      <c r="AD548" s="60"/>
      <c r="AE548" s="69"/>
    </row>
    <row r="549" spans="1:33" s="20" customFormat="1" ht="51" x14ac:dyDescent="0.2">
      <c r="A549" s="335">
        <f>A548+1</f>
        <v>444</v>
      </c>
      <c r="B549" s="257" t="s">
        <v>458</v>
      </c>
      <c r="C549" s="304" t="s">
        <v>459</v>
      </c>
      <c r="D549" s="318" t="s">
        <v>513</v>
      </c>
      <c r="E549" s="354">
        <v>1</v>
      </c>
      <c r="F549" s="355">
        <v>1</v>
      </c>
      <c r="G549" s="254">
        <f>ROUND(E549*F549,2)</f>
        <v>1</v>
      </c>
      <c r="H549" s="298"/>
      <c r="I549" s="299">
        <v>55423.41</v>
      </c>
      <c r="J549" s="300">
        <v>1.9442999999999999</v>
      </c>
      <c r="K549" s="299">
        <f>ROUND(I549*J549,2)</f>
        <v>107759.74</v>
      </c>
      <c r="L549" s="301">
        <f>ROUND(K549*G549,2)</f>
        <v>107759.74</v>
      </c>
      <c r="M549" s="154">
        <f>ROUND(L549*0.2,2)</f>
        <v>21551.95</v>
      </c>
      <c r="N549" s="73">
        <f t="shared" si="169"/>
        <v>129311.69</v>
      </c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154" t="s">
        <v>539</v>
      </c>
      <c r="Z549" s="98"/>
      <c r="AA549" s="18"/>
      <c r="AB549" s="60"/>
      <c r="AC549" s="60"/>
      <c r="AD549" s="60"/>
      <c r="AE549" s="69"/>
    </row>
    <row r="550" spans="1:33" s="20" customFormat="1" ht="51" x14ac:dyDescent="0.2">
      <c r="A550" s="335">
        <f>A549+1</f>
        <v>445</v>
      </c>
      <c r="B550" s="257" t="s">
        <v>460</v>
      </c>
      <c r="C550" s="304" t="s">
        <v>461</v>
      </c>
      <c r="D550" s="318" t="s">
        <v>513</v>
      </c>
      <c r="E550" s="354">
        <v>1</v>
      </c>
      <c r="F550" s="355">
        <v>1</v>
      </c>
      <c r="G550" s="254">
        <f>ROUND(E550*F550,2)</f>
        <v>1</v>
      </c>
      <c r="H550" s="298"/>
      <c r="I550" s="299">
        <v>1959.47</v>
      </c>
      <c r="J550" s="300">
        <v>1.9442999999999999</v>
      </c>
      <c r="K550" s="299">
        <f>ROUND(I550*J550,2)</f>
        <v>3809.8</v>
      </c>
      <c r="L550" s="301">
        <f>ROUND(K550*G550,2)</f>
        <v>3809.8</v>
      </c>
      <c r="M550" s="154">
        <f>ROUND(L550*0.2,2)</f>
        <v>761.96</v>
      </c>
      <c r="N550" s="73">
        <f t="shared" si="169"/>
        <v>4571.76</v>
      </c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161">
        <f>11370592.14+Z619</f>
        <v>11478648.720000001</v>
      </c>
      <c r="Z550" s="98"/>
      <c r="AA550" s="18"/>
      <c r="AB550" s="60"/>
      <c r="AC550" s="60"/>
      <c r="AD550" s="60"/>
      <c r="AE550" s="69"/>
    </row>
    <row r="551" spans="1:33" s="20" customFormat="1" ht="76.5" x14ac:dyDescent="0.2">
      <c r="A551" s="335">
        <f>A550+1</f>
        <v>446</v>
      </c>
      <c r="B551" s="257" t="s">
        <v>241</v>
      </c>
      <c r="C551" s="302" t="s">
        <v>76</v>
      </c>
      <c r="D551" s="254" t="s">
        <v>426</v>
      </c>
      <c r="E551" s="254">
        <v>58.433999999999997</v>
      </c>
      <c r="F551" s="254">
        <v>1</v>
      </c>
      <c r="G551" s="254">
        <f t="shared" ref="G551:G559" si="170">ROUND(E551*F551,2)</f>
        <v>58.43</v>
      </c>
      <c r="H551" s="254"/>
      <c r="I551" s="299">
        <v>343.08</v>
      </c>
      <c r="J551" s="300">
        <v>1.9442999999999999</v>
      </c>
      <c r="K551" s="299">
        <f>ROUND(I551*J551,2)</f>
        <v>667.05</v>
      </c>
      <c r="L551" s="301">
        <f>ROUND(K551*G551,2)</f>
        <v>38975.730000000003</v>
      </c>
      <c r="M551" s="154">
        <f>ROUND(L551*0.2,2)</f>
        <v>7795.15</v>
      </c>
      <c r="N551" s="73">
        <f t="shared" si="169"/>
        <v>46770.879999999997</v>
      </c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64"/>
      <c r="Z551" s="98"/>
      <c r="AA551" s="18"/>
      <c r="AB551" s="60"/>
      <c r="AC551" s="60"/>
      <c r="AD551" s="60"/>
      <c r="AE551" s="69"/>
    </row>
    <row r="552" spans="1:33" s="20" customFormat="1" ht="55.5" customHeight="1" x14ac:dyDescent="0.2">
      <c r="A552" s="335">
        <f t="shared" ref="A552:A558" si="171">A551+1</f>
        <v>447</v>
      </c>
      <c r="B552" s="257" t="s">
        <v>210</v>
      </c>
      <c r="C552" s="302" t="s">
        <v>242</v>
      </c>
      <c r="D552" s="254" t="s">
        <v>426</v>
      </c>
      <c r="E552" s="254">
        <v>111.4</v>
      </c>
      <c r="F552" s="254">
        <v>3</v>
      </c>
      <c r="G552" s="254">
        <f t="shared" si="170"/>
        <v>334.2</v>
      </c>
      <c r="H552" s="254"/>
      <c r="I552" s="299">
        <v>188.57</v>
      </c>
      <c r="J552" s="300">
        <v>1.9442999999999999</v>
      </c>
      <c r="K552" s="299">
        <f t="shared" ref="K552:K558" si="172">ROUND(I552*J552,2)</f>
        <v>366.64</v>
      </c>
      <c r="L552" s="301">
        <f t="shared" ref="L552:L557" si="173">ROUND(K552*G552,2)</f>
        <v>122531.09</v>
      </c>
      <c r="M552" s="154">
        <f t="shared" ref="M552:M558" si="174">ROUND(L552*0.2,2)</f>
        <v>24506.22</v>
      </c>
      <c r="N552" s="73">
        <f t="shared" si="169"/>
        <v>147037.31</v>
      </c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64">
        <f>N552+N553+N554+N555+N556</f>
        <v>510243.79</v>
      </c>
      <c r="Z552" s="77">
        <v>64261.2</v>
      </c>
      <c r="AA552" s="18">
        <v>64199.03</v>
      </c>
      <c r="AB552" s="19"/>
      <c r="AC552" s="22"/>
      <c r="AD552" s="22"/>
      <c r="AE552" s="40"/>
    </row>
    <row r="553" spans="1:33" s="20" customFormat="1" ht="56.25" customHeight="1" x14ac:dyDescent="0.2">
      <c r="A553" s="335">
        <f>A552+1</f>
        <v>448</v>
      </c>
      <c r="B553" s="257" t="s">
        <v>210</v>
      </c>
      <c r="C553" s="302" t="s">
        <v>78</v>
      </c>
      <c r="D553" s="254" t="s">
        <v>426</v>
      </c>
      <c r="E553" s="254">
        <v>321.83999999999997</v>
      </c>
      <c r="F553" s="254">
        <v>2</v>
      </c>
      <c r="G553" s="254">
        <f t="shared" si="170"/>
        <v>643.67999999999995</v>
      </c>
      <c r="H553" s="254"/>
      <c r="I553" s="299">
        <v>188.57</v>
      </c>
      <c r="J553" s="300">
        <v>1.9442999999999999</v>
      </c>
      <c r="K553" s="299">
        <f t="shared" si="172"/>
        <v>366.64</v>
      </c>
      <c r="L553" s="301">
        <f t="shared" si="173"/>
        <v>235998.84</v>
      </c>
      <c r="M553" s="154">
        <f t="shared" si="174"/>
        <v>47199.77</v>
      </c>
      <c r="N553" s="73">
        <f t="shared" si="169"/>
        <v>283198.61</v>
      </c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64"/>
      <c r="Z553" s="77">
        <v>67331.94</v>
      </c>
      <c r="AA553" s="18">
        <v>100901.66</v>
      </c>
      <c r="AB553" s="22"/>
      <c r="AC553" s="22"/>
      <c r="AD553" s="22"/>
    </row>
    <row r="554" spans="1:33" s="20" customFormat="1" ht="70.5" customHeight="1" x14ac:dyDescent="0.2">
      <c r="A554" s="335">
        <f>A553+1</f>
        <v>449</v>
      </c>
      <c r="B554" s="348" t="s">
        <v>210</v>
      </c>
      <c r="C554" s="302" t="s">
        <v>79</v>
      </c>
      <c r="D554" s="254" t="s">
        <v>354</v>
      </c>
      <c r="E554" s="254">
        <v>151.1</v>
      </c>
      <c r="F554" s="254">
        <v>1</v>
      </c>
      <c r="G554" s="254">
        <f t="shared" si="170"/>
        <v>151.1</v>
      </c>
      <c r="H554" s="254"/>
      <c r="I554" s="299">
        <v>188.57</v>
      </c>
      <c r="J554" s="300">
        <v>1.9442999999999999</v>
      </c>
      <c r="K554" s="299">
        <f t="shared" si="172"/>
        <v>366.64</v>
      </c>
      <c r="L554" s="301">
        <f t="shared" si="173"/>
        <v>55399.3</v>
      </c>
      <c r="M554" s="154">
        <f t="shared" si="174"/>
        <v>11079.86</v>
      </c>
      <c r="N554" s="73">
        <f t="shared" si="169"/>
        <v>66479.16</v>
      </c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64"/>
      <c r="Z554" s="77">
        <v>97262.63</v>
      </c>
      <c r="AA554" s="18">
        <v>194339.87</v>
      </c>
      <c r="AB554" s="22"/>
      <c r="AC554" s="22"/>
      <c r="AD554" s="22"/>
    </row>
    <row r="555" spans="1:33" s="20" customFormat="1" ht="76.5" x14ac:dyDescent="0.2">
      <c r="A555" s="335">
        <f>A554+1</f>
        <v>450</v>
      </c>
      <c r="B555" s="257" t="s">
        <v>211</v>
      </c>
      <c r="C555" s="257" t="s">
        <v>64</v>
      </c>
      <c r="D555" s="254" t="s">
        <v>411</v>
      </c>
      <c r="E555" s="254">
        <f>21.04+24.42+0.6</f>
        <v>46.06</v>
      </c>
      <c r="F555" s="254">
        <v>2</v>
      </c>
      <c r="G555" s="254">
        <f t="shared" si="170"/>
        <v>92.12</v>
      </c>
      <c r="H555" s="254"/>
      <c r="I555" s="299">
        <v>44.32</v>
      </c>
      <c r="J555" s="300">
        <v>1.9442999999999999</v>
      </c>
      <c r="K555" s="299">
        <f t="shared" si="172"/>
        <v>86.17</v>
      </c>
      <c r="L555" s="301">
        <f t="shared" si="173"/>
        <v>7937.98</v>
      </c>
      <c r="M555" s="154">
        <f t="shared" si="174"/>
        <v>1587.6</v>
      </c>
      <c r="N555" s="73">
        <f t="shared" si="169"/>
        <v>9525.58</v>
      </c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64"/>
      <c r="Z555" s="77"/>
      <c r="AA555" s="18"/>
      <c r="AB555" s="22"/>
      <c r="AC555" s="22"/>
      <c r="AD555" s="22"/>
    </row>
    <row r="556" spans="1:33" s="20" customFormat="1" ht="76.5" x14ac:dyDescent="0.2">
      <c r="A556" s="335">
        <f t="shared" si="171"/>
        <v>451</v>
      </c>
      <c r="B556" s="257" t="s">
        <v>212</v>
      </c>
      <c r="C556" s="302" t="s">
        <v>80</v>
      </c>
      <c r="D556" s="254" t="s">
        <v>411</v>
      </c>
      <c r="E556" s="254">
        <v>12.9</v>
      </c>
      <c r="F556" s="254">
        <v>2</v>
      </c>
      <c r="G556" s="254">
        <f t="shared" si="170"/>
        <v>25.8</v>
      </c>
      <c r="H556" s="254"/>
      <c r="I556" s="299">
        <v>66.5</v>
      </c>
      <c r="J556" s="300">
        <v>1.9442999999999999</v>
      </c>
      <c r="K556" s="299">
        <f t="shared" si="172"/>
        <v>129.30000000000001</v>
      </c>
      <c r="L556" s="301">
        <f>ROUND(K556*G556,2)</f>
        <v>3335.94</v>
      </c>
      <c r="M556" s="154">
        <f t="shared" si="174"/>
        <v>667.19</v>
      </c>
      <c r="N556" s="73">
        <f t="shared" si="169"/>
        <v>4003.13</v>
      </c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64"/>
      <c r="Z556" s="77">
        <v>3049.2400000000002</v>
      </c>
      <c r="AA556" s="18">
        <v>1522.8</v>
      </c>
      <c r="AB556" s="22"/>
      <c r="AC556" s="22"/>
      <c r="AD556" s="22"/>
    </row>
    <row r="557" spans="1:33" s="20" customFormat="1" ht="76.5" x14ac:dyDescent="0.2">
      <c r="A557" s="335">
        <f t="shared" si="171"/>
        <v>452</v>
      </c>
      <c r="B557" s="257" t="s">
        <v>153</v>
      </c>
      <c r="C557" s="302" t="s">
        <v>105</v>
      </c>
      <c r="D557" s="254" t="s">
        <v>422</v>
      </c>
      <c r="E557" s="254">
        <v>3</v>
      </c>
      <c r="F557" s="254">
        <v>3</v>
      </c>
      <c r="G557" s="254">
        <f t="shared" si="170"/>
        <v>9</v>
      </c>
      <c r="H557" s="254"/>
      <c r="I557" s="299">
        <v>218.45</v>
      </c>
      <c r="J557" s="300">
        <v>1.9442999999999999</v>
      </c>
      <c r="K557" s="299">
        <f t="shared" si="172"/>
        <v>424.73</v>
      </c>
      <c r="L557" s="301">
        <f t="shared" si="173"/>
        <v>3822.57</v>
      </c>
      <c r="M557" s="154">
        <f t="shared" si="174"/>
        <v>764.51</v>
      </c>
      <c r="N557" s="73">
        <f t="shared" si="169"/>
        <v>4587.08</v>
      </c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64"/>
      <c r="Z557" s="77">
        <v>5499.1200000000008</v>
      </c>
      <c r="AA557" s="18">
        <v>2746.67</v>
      </c>
      <c r="AB557" s="22"/>
      <c r="AC557" s="22"/>
      <c r="AD557" s="22"/>
    </row>
    <row r="558" spans="1:33" s="20" customFormat="1" ht="76.5" x14ac:dyDescent="0.2">
      <c r="A558" s="335">
        <f t="shared" si="171"/>
        <v>453</v>
      </c>
      <c r="B558" s="257" t="s">
        <v>214</v>
      </c>
      <c r="C558" s="302" t="s">
        <v>106</v>
      </c>
      <c r="D558" s="254" t="s">
        <v>426</v>
      </c>
      <c r="E558" s="254">
        <v>216.62</v>
      </c>
      <c r="F558" s="254">
        <v>2</v>
      </c>
      <c r="G558" s="254">
        <f t="shared" si="170"/>
        <v>433.24</v>
      </c>
      <c r="H558" s="254"/>
      <c r="I558" s="299">
        <v>241.57</v>
      </c>
      <c r="J558" s="300">
        <v>1.9442999999999999</v>
      </c>
      <c r="K558" s="299">
        <f t="shared" si="172"/>
        <v>469.68</v>
      </c>
      <c r="L558" s="301">
        <f>ROUND(K558*G558,2)</f>
        <v>203484.16</v>
      </c>
      <c r="M558" s="154">
        <f t="shared" si="174"/>
        <v>40696.83</v>
      </c>
      <c r="N558" s="73">
        <f t="shared" si="169"/>
        <v>244180.99</v>
      </c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64"/>
      <c r="Z558" s="77">
        <v>3151.01</v>
      </c>
      <c r="AA558" s="18">
        <v>3147.93</v>
      </c>
      <c r="AB558" s="22"/>
      <c r="AC558" s="22"/>
      <c r="AD558" s="22"/>
    </row>
    <row r="559" spans="1:33" s="20" customFormat="1" ht="80.25" customHeight="1" x14ac:dyDescent="0.2">
      <c r="A559" s="335">
        <f>A558+1</f>
        <v>454</v>
      </c>
      <c r="B559" s="342" t="s">
        <v>505</v>
      </c>
      <c r="C559" s="257" t="s">
        <v>504</v>
      </c>
      <c r="D559" s="254" t="s">
        <v>355</v>
      </c>
      <c r="E559" s="254">
        <v>4</v>
      </c>
      <c r="F559" s="254">
        <v>2</v>
      </c>
      <c r="G559" s="254">
        <f t="shared" si="170"/>
        <v>8</v>
      </c>
      <c r="H559" s="299"/>
      <c r="I559" s="306"/>
      <c r="J559" s="300"/>
      <c r="K559" s="299">
        <v>4405.2299999999996</v>
      </c>
      <c r="L559" s="301">
        <f>ROUND(K559*G559,2)</f>
        <v>35241.839999999997</v>
      </c>
      <c r="M559" s="154">
        <f>ROUND(L559*0.2,2)</f>
        <v>7048.37</v>
      </c>
      <c r="N559" s="73">
        <f>ROUND(M559+L559,2)</f>
        <v>42290.21</v>
      </c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64"/>
      <c r="Z559" s="77">
        <v>167731.46</v>
      </c>
      <c r="AA559" s="18">
        <v>251352.85</v>
      </c>
      <c r="AB559" s="22"/>
      <c r="AC559" s="22"/>
      <c r="AD559" s="22"/>
    </row>
    <row r="560" spans="1:33" s="20" customFormat="1" ht="12.75" x14ac:dyDescent="0.2">
      <c r="A560" s="335"/>
      <c r="B560" s="257"/>
      <c r="C560" s="224" t="s">
        <v>81</v>
      </c>
      <c r="D560" s="254"/>
      <c r="E560" s="254"/>
      <c r="F560" s="254"/>
      <c r="G560" s="254"/>
      <c r="H560" s="254"/>
      <c r="I560" s="299"/>
      <c r="J560" s="254"/>
      <c r="K560" s="254"/>
      <c r="L560" s="254"/>
      <c r="M560" s="34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64"/>
      <c r="Z560" s="77"/>
      <c r="AA560" s="18"/>
      <c r="AB560" s="22"/>
      <c r="AC560" s="22"/>
      <c r="AD560" s="22"/>
    </row>
    <row r="561" spans="1:30" s="20" customFormat="1" ht="80.25" customHeight="1" x14ac:dyDescent="0.2">
      <c r="A561" s="335">
        <f>A559+1</f>
        <v>455</v>
      </c>
      <c r="B561" s="257" t="s">
        <v>215</v>
      </c>
      <c r="C561" s="559" t="s">
        <v>107</v>
      </c>
      <c r="D561" s="560" t="s">
        <v>411</v>
      </c>
      <c r="E561" s="254">
        <f>11.61*0.3</f>
        <v>3.4829999999999997</v>
      </c>
      <c r="F561" s="254">
        <v>1</v>
      </c>
      <c r="G561" s="254">
        <f t="shared" ref="G561:G569" si="175">ROUND(E561*F561,2)</f>
        <v>3.48</v>
      </c>
      <c r="H561" s="254"/>
      <c r="I561" s="299">
        <v>64649.39</v>
      </c>
      <c r="J561" s="300">
        <v>1.9442999999999999</v>
      </c>
      <c r="K561" s="299">
        <f t="shared" ref="K561:K566" si="176">ROUND(I561*J561,2)</f>
        <v>125697.81</v>
      </c>
      <c r="L561" s="301">
        <f t="shared" ref="L561:L566" si="177">ROUND(K561*G561,2)</f>
        <v>437428.38</v>
      </c>
      <c r="M561" s="154">
        <f t="shared" ref="M561:M566" si="178">ROUND(L561*0.2,2)</f>
        <v>87485.68</v>
      </c>
      <c r="N561" s="73">
        <f t="shared" ref="N561:N566" si="179">ROUND(L561+M561,2)</f>
        <v>524914.06000000006</v>
      </c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64"/>
      <c r="Z561" s="77"/>
      <c r="AA561" s="18"/>
      <c r="AB561" s="22"/>
      <c r="AC561" s="22"/>
      <c r="AD561" s="22"/>
    </row>
    <row r="562" spans="1:30" s="20" customFormat="1" ht="106.5" customHeight="1" x14ac:dyDescent="0.2">
      <c r="A562" s="335">
        <f>A561+1</f>
        <v>456</v>
      </c>
      <c r="B562" s="257" t="s">
        <v>216</v>
      </c>
      <c r="C562" s="302" t="s">
        <v>108</v>
      </c>
      <c r="D562" s="254" t="s">
        <v>411</v>
      </c>
      <c r="E562" s="254">
        <f>5.81*0.3</f>
        <v>1.7429999999999999</v>
      </c>
      <c r="F562" s="254">
        <v>1</v>
      </c>
      <c r="G562" s="254">
        <f t="shared" si="175"/>
        <v>1.74</v>
      </c>
      <c r="H562" s="254"/>
      <c r="I562" s="299">
        <v>77125.899999999994</v>
      </c>
      <c r="J562" s="300">
        <v>1.9442999999999999</v>
      </c>
      <c r="K562" s="299">
        <f t="shared" si="176"/>
        <v>149955.89000000001</v>
      </c>
      <c r="L562" s="301">
        <f t="shared" si="177"/>
        <v>260923.25</v>
      </c>
      <c r="M562" s="154">
        <f t="shared" si="178"/>
        <v>52184.65</v>
      </c>
      <c r="N562" s="73">
        <f t="shared" si="179"/>
        <v>313107.90000000002</v>
      </c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64"/>
      <c r="Z562" s="77">
        <v>601993.22</v>
      </c>
      <c r="AA562" s="18">
        <v>1201775.48</v>
      </c>
      <c r="AB562" s="22"/>
      <c r="AC562" s="22"/>
      <c r="AD562" s="22"/>
    </row>
    <row r="563" spans="1:30" s="20" customFormat="1" ht="89.25" x14ac:dyDescent="0.2">
      <c r="A563" s="335">
        <f>A562+1</f>
        <v>457</v>
      </c>
      <c r="B563" s="257" t="s">
        <v>218</v>
      </c>
      <c r="C563" s="557" t="s">
        <v>82</v>
      </c>
      <c r="D563" s="254" t="s">
        <v>430</v>
      </c>
      <c r="E563" s="254">
        <f>2588*0.5/2</f>
        <v>647</v>
      </c>
      <c r="F563" s="254">
        <v>1</v>
      </c>
      <c r="G563" s="254">
        <f t="shared" si="175"/>
        <v>647</v>
      </c>
      <c r="H563" s="254"/>
      <c r="I563" s="299">
        <v>35.799999999999997</v>
      </c>
      <c r="J563" s="300">
        <v>1.9442999999999999</v>
      </c>
      <c r="K563" s="299">
        <f t="shared" si="176"/>
        <v>69.61</v>
      </c>
      <c r="L563" s="301">
        <f t="shared" si="177"/>
        <v>45037.67</v>
      </c>
      <c r="M563" s="154">
        <f t="shared" si="178"/>
        <v>9007.5300000000007</v>
      </c>
      <c r="N563" s="73">
        <f t="shared" si="179"/>
        <v>54045.2</v>
      </c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64"/>
      <c r="Z563" s="77">
        <v>359703.19999999995</v>
      </c>
      <c r="AA563" s="18">
        <v>717468.94</v>
      </c>
      <c r="AB563" s="22">
        <f>AC563*0.0005/100</f>
        <v>7.7364750000000004</v>
      </c>
      <c r="AC563" s="22">
        <v>1547295</v>
      </c>
      <c r="AD563" s="22"/>
    </row>
    <row r="564" spans="1:30" s="20" customFormat="1" ht="127.5" x14ac:dyDescent="0.2">
      <c r="A564" s="335">
        <f>A563+1</f>
        <v>458</v>
      </c>
      <c r="B564" s="257" t="s">
        <v>243</v>
      </c>
      <c r="C564" s="302" t="s">
        <v>103</v>
      </c>
      <c r="D564" s="254" t="s">
        <v>447</v>
      </c>
      <c r="E564" s="254">
        <f>650*0.5</f>
        <v>325</v>
      </c>
      <c r="F564" s="254">
        <v>1</v>
      </c>
      <c r="G564" s="254">
        <f t="shared" si="175"/>
        <v>325</v>
      </c>
      <c r="H564" s="254"/>
      <c r="I564" s="299">
        <v>315.70999999999998</v>
      </c>
      <c r="J564" s="300">
        <v>1.9442999999999999</v>
      </c>
      <c r="K564" s="299">
        <f t="shared" si="176"/>
        <v>613.83000000000004</v>
      </c>
      <c r="L564" s="301">
        <f t="shared" si="177"/>
        <v>199494.75</v>
      </c>
      <c r="M564" s="154">
        <f t="shared" si="178"/>
        <v>39898.949999999997</v>
      </c>
      <c r="N564" s="73">
        <f t="shared" si="179"/>
        <v>239393.7</v>
      </c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64"/>
      <c r="Z564" s="77">
        <v>74254.899999999994</v>
      </c>
      <c r="AA564" s="18">
        <v>148362.28</v>
      </c>
      <c r="AB564" s="22">
        <f>AB563/2</f>
        <v>3.8682375000000002</v>
      </c>
      <c r="AC564" s="22"/>
      <c r="AD564" s="22"/>
    </row>
    <row r="565" spans="1:30" s="20" customFormat="1" ht="87.75" customHeight="1" x14ac:dyDescent="0.2">
      <c r="A565" s="335">
        <f>A564+1</f>
        <v>459</v>
      </c>
      <c r="B565" s="257" t="s">
        <v>244</v>
      </c>
      <c r="C565" s="302" t="s">
        <v>110</v>
      </c>
      <c r="D565" s="254" t="s">
        <v>431</v>
      </c>
      <c r="E565" s="254">
        <v>453.3</v>
      </c>
      <c r="F565" s="254">
        <v>3</v>
      </c>
      <c r="G565" s="254">
        <f t="shared" si="175"/>
        <v>1359.9</v>
      </c>
      <c r="H565" s="254"/>
      <c r="I565" s="299">
        <v>283.41000000000003</v>
      </c>
      <c r="J565" s="300">
        <v>1.9442999999999999</v>
      </c>
      <c r="K565" s="299">
        <f t="shared" si="176"/>
        <v>551.03</v>
      </c>
      <c r="L565" s="301">
        <f t="shared" si="177"/>
        <v>749345.7</v>
      </c>
      <c r="M565" s="154">
        <f t="shared" si="178"/>
        <v>149869.14000000001</v>
      </c>
      <c r="N565" s="73">
        <f t="shared" si="179"/>
        <v>899214.84</v>
      </c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64"/>
      <c r="Z565" s="77">
        <v>164447.4</v>
      </c>
      <c r="AA565" s="18">
        <v>328568.5</v>
      </c>
      <c r="AB565" s="22"/>
      <c r="AC565" s="22"/>
      <c r="AD565" s="22"/>
    </row>
    <row r="566" spans="1:30" s="20" customFormat="1" ht="51" x14ac:dyDescent="0.2">
      <c r="A566" s="335">
        <f>A565+1</f>
        <v>460</v>
      </c>
      <c r="B566" s="257" t="s">
        <v>463</v>
      </c>
      <c r="C566" s="558" t="s">
        <v>464</v>
      </c>
      <c r="D566" s="299" t="s">
        <v>118</v>
      </c>
      <c r="E566" s="254">
        <v>1</v>
      </c>
      <c r="F566" s="254">
        <v>1</v>
      </c>
      <c r="G566" s="254">
        <f t="shared" si="175"/>
        <v>1</v>
      </c>
      <c r="H566" s="299"/>
      <c r="I566" s="299">
        <v>38457.4</v>
      </c>
      <c r="J566" s="300">
        <v>1.9442999999999999</v>
      </c>
      <c r="K566" s="299">
        <f t="shared" si="176"/>
        <v>74772.72</v>
      </c>
      <c r="L566" s="301">
        <f t="shared" si="177"/>
        <v>74772.72</v>
      </c>
      <c r="M566" s="154">
        <f t="shared" si="178"/>
        <v>14954.54</v>
      </c>
      <c r="N566" s="73">
        <f t="shared" si="179"/>
        <v>89727.26</v>
      </c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64"/>
      <c r="Z566" s="77">
        <v>1235431.07</v>
      </c>
      <c r="AA566" s="18">
        <v>822812.03</v>
      </c>
      <c r="AB566" s="22"/>
      <c r="AC566" s="22"/>
      <c r="AD566" s="22"/>
    </row>
    <row r="567" spans="1:30" s="20" customFormat="1" ht="25.5" x14ac:dyDescent="0.2">
      <c r="A567" s="335"/>
      <c r="B567" s="257"/>
      <c r="C567" s="224" t="s">
        <v>83</v>
      </c>
      <c r="D567" s="254"/>
      <c r="E567" s="254"/>
      <c r="F567" s="254"/>
      <c r="G567" s="254"/>
      <c r="H567" s="254"/>
      <c r="I567" s="299"/>
      <c r="J567" s="300"/>
      <c r="K567" s="299"/>
      <c r="L567" s="301"/>
      <c r="M567" s="154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64"/>
      <c r="Z567" s="77"/>
      <c r="AA567" s="18"/>
      <c r="AB567" s="22"/>
      <c r="AC567" s="22"/>
      <c r="AD567" s="22"/>
    </row>
    <row r="568" spans="1:30" s="20" customFormat="1" ht="76.5" x14ac:dyDescent="0.2">
      <c r="A568" s="335">
        <f>A566+1</f>
        <v>461</v>
      </c>
      <c r="B568" s="257" t="s">
        <v>220</v>
      </c>
      <c r="C568" s="304" t="s">
        <v>84</v>
      </c>
      <c r="D568" s="254" t="s">
        <v>433</v>
      </c>
      <c r="E568" s="254">
        <f>1290*0.2</f>
        <v>258</v>
      </c>
      <c r="F568" s="254">
        <v>1</v>
      </c>
      <c r="G568" s="254">
        <f>ROUND(E568*F568,2)</f>
        <v>258</v>
      </c>
      <c r="H568" s="254"/>
      <c r="I568" s="299">
        <v>77.2</v>
      </c>
      <c r="J568" s="300">
        <v>1.9442999999999999</v>
      </c>
      <c r="K568" s="299">
        <f>ROUND(I568*J568,2)</f>
        <v>150.1</v>
      </c>
      <c r="L568" s="301">
        <f>ROUND(K568*G568,2)</f>
        <v>38725.800000000003</v>
      </c>
      <c r="M568" s="154">
        <f>ROUND(L568*0.2,2)</f>
        <v>7745.16</v>
      </c>
      <c r="N568" s="73">
        <f>ROUND(L568+M568,2)</f>
        <v>46470.96</v>
      </c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64"/>
      <c r="Z568" s="77"/>
      <c r="AA568" s="18"/>
      <c r="AB568" s="22"/>
      <c r="AC568" s="22"/>
      <c r="AD568" s="22"/>
    </row>
    <row r="569" spans="1:30" s="20" customFormat="1" ht="89.25" x14ac:dyDescent="0.2">
      <c r="A569" s="335">
        <f>A568+1</f>
        <v>462</v>
      </c>
      <c r="B569" s="257" t="s">
        <v>245</v>
      </c>
      <c r="C569" s="304" t="s">
        <v>85</v>
      </c>
      <c r="D569" s="254" t="s">
        <v>437</v>
      </c>
      <c r="E569" s="254">
        <f>68/4</f>
        <v>17</v>
      </c>
      <c r="F569" s="254">
        <v>1</v>
      </c>
      <c r="G569" s="254">
        <f t="shared" si="175"/>
        <v>17</v>
      </c>
      <c r="H569" s="254"/>
      <c r="I569" s="299">
        <v>1547.81</v>
      </c>
      <c r="J569" s="300">
        <v>1.9442999999999999</v>
      </c>
      <c r="K569" s="299">
        <f>ROUND(I569*J569,2)</f>
        <v>3009.41</v>
      </c>
      <c r="L569" s="301">
        <f>ROUND(K569*G569,2)</f>
        <v>51159.97</v>
      </c>
      <c r="M569" s="154">
        <f>ROUND(L569*0.2,2)</f>
        <v>10231.99</v>
      </c>
      <c r="N569" s="73">
        <f>ROUND(L569+M569,2)</f>
        <v>61391.96</v>
      </c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64"/>
      <c r="Z569" s="77">
        <v>159598.79999999999</v>
      </c>
      <c r="AA569" s="18">
        <v>159445.29</v>
      </c>
      <c r="AB569" s="22"/>
      <c r="AC569" s="22"/>
      <c r="AD569" s="22"/>
    </row>
    <row r="570" spans="1:30" s="20" customFormat="1" ht="38.25" x14ac:dyDescent="0.2">
      <c r="A570" s="335"/>
      <c r="B570" s="257"/>
      <c r="C570" s="224" t="s">
        <v>86</v>
      </c>
      <c r="D570" s="254"/>
      <c r="E570" s="254"/>
      <c r="F570" s="254"/>
      <c r="G570" s="254"/>
      <c r="H570" s="254"/>
      <c r="I570" s="299"/>
      <c r="J570" s="300"/>
      <c r="K570" s="299"/>
      <c r="L570" s="301"/>
      <c r="M570" s="154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64"/>
      <c r="Z570" s="77">
        <v>168685.15</v>
      </c>
      <c r="AA570" s="18">
        <v>168520.46</v>
      </c>
      <c r="AB570" s="22"/>
      <c r="AC570" s="22"/>
      <c r="AD570" s="22"/>
    </row>
    <row r="571" spans="1:30" s="20" customFormat="1" ht="76.5" x14ac:dyDescent="0.2">
      <c r="A571" s="335">
        <f>A569+1</f>
        <v>463</v>
      </c>
      <c r="B571" s="257" t="s">
        <v>246</v>
      </c>
      <c r="C571" s="302" t="s">
        <v>87</v>
      </c>
      <c r="D571" s="254" t="s">
        <v>422</v>
      </c>
      <c r="E571" s="254">
        <f>177-100</f>
        <v>77</v>
      </c>
      <c r="F571" s="254">
        <v>1</v>
      </c>
      <c r="G571" s="254">
        <f t="shared" ref="G571:G587" si="180">ROUND(E571*F571,2)</f>
        <v>77</v>
      </c>
      <c r="H571" s="254"/>
      <c r="I571" s="299">
        <v>108.09</v>
      </c>
      <c r="J571" s="300">
        <v>1.9442999999999999</v>
      </c>
      <c r="K571" s="299">
        <f t="shared" ref="K571:K578" si="181">ROUND(I571*J571,2)</f>
        <v>210.16</v>
      </c>
      <c r="L571" s="301">
        <f t="shared" ref="L571:L578" si="182">ROUND(K571*G571,2)</f>
        <v>16182.32</v>
      </c>
      <c r="M571" s="154">
        <f t="shared" ref="M571:M578" si="183">ROUND(L571*0.2,2)</f>
        <v>3236.46</v>
      </c>
      <c r="N571" s="73">
        <f t="shared" ref="N571:N578" si="184">ROUND(L571+M571,2)</f>
        <v>19418.78</v>
      </c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64"/>
      <c r="Z571" s="77"/>
      <c r="AA571" s="18"/>
      <c r="AB571" s="22"/>
      <c r="AC571" s="22"/>
      <c r="AD571" s="22"/>
    </row>
    <row r="572" spans="1:30" s="20" customFormat="1" ht="89.25" x14ac:dyDescent="0.2">
      <c r="A572" s="335">
        <f>A571+1</f>
        <v>464</v>
      </c>
      <c r="B572" s="257" t="s">
        <v>223</v>
      </c>
      <c r="C572" s="302" t="s">
        <v>165</v>
      </c>
      <c r="D572" s="254" t="s">
        <v>422</v>
      </c>
      <c r="E572" s="254">
        <f>70/2</f>
        <v>35</v>
      </c>
      <c r="F572" s="254">
        <v>1</v>
      </c>
      <c r="G572" s="254">
        <f t="shared" si="180"/>
        <v>35</v>
      </c>
      <c r="H572" s="254"/>
      <c r="I572" s="299">
        <v>3286.73</v>
      </c>
      <c r="J572" s="300">
        <v>1.9442999999999999</v>
      </c>
      <c r="K572" s="299">
        <f t="shared" si="181"/>
        <v>6390.39</v>
      </c>
      <c r="L572" s="301">
        <f t="shared" si="182"/>
        <v>223663.65</v>
      </c>
      <c r="M572" s="154">
        <f t="shared" si="183"/>
        <v>44732.73</v>
      </c>
      <c r="N572" s="73">
        <f t="shared" si="184"/>
        <v>268396.38</v>
      </c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64"/>
      <c r="Z572" s="77">
        <v>61497.36</v>
      </c>
      <c r="AA572" s="18">
        <v>44130.99</v>
      </c>
      <c r="AB572" s="22"/>
      <c r="AC572" s="22"/>
      <c r="AD572" s="22"/>
    </row>
    <row r="573" spans="1:30" s="20" customFormat="1" ht="76.5" x14ac:dyDescent="0.2">
      <c r="A573" s="335">
        <f t="shared" ref="A573:A578" si="185">A572+1</f>
        <v>465</v>
      </c>
      <c r="B573" s="257" t="s">
        <v>502</v>
      </c>
      <c r="C573" s="257" t="s">
        <v>506</v>
      </c>
      <c r="D573" s="254" t="s">
        <v>422</v>
      </c>
      <c r="E573" s="254">
        <v>12</v>
      </c>
      <c r="F573" s="254">
        <v>1</v>
      </c>
      <c r="G573" s="254">
        <f t="shared" si="180"/>
        <v>12</v>
      </c>
      <c r="H573" s="254"/>
      <c r="I573" s="299">
        <v>6596.71</v>
      </c>
      <c r="J573" s="300">
        <v>1.9442999999999999</v>
      </c>
      <c r="K573" s="299">
        <f t="shared" si="181"/>
        <v>12825.98</v>
      </c>
      <c r="L573" s="301">
        <f t="shared" si="182"/>
        <v>153911.76</v>
      </c>
      <c r="M573" s="154">
        <f t="shared" si="183"/>
        <v>30782.35</v>
      </c>
      <c r="N573" s="73">
        <f t="shared" si="184"/>
        <v>184694.11</v>
      </c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64"/>
      <c r="Z573" s="77">
        <v>368733.95999999996</v>
      </c>
      <c r="AA573" s="18">
        <v>499936.46</v>
      </c>
      <c r="AB573" s="22"/>
      <c r="AC573" s="22"/>
      <c r="AD573" s="22"/>
    </row>
    <row r="574" spans="1:30" s="20" customFormat="1" ht="76.5" x14ac:dyDescent="0.2">
      <c r="A574" s="335">
        <f t="shared" si="185"/>
        <v>466</v>
      </c>
      <c r="B574" s="257" t="s">
        <v>247</v>
      </c>
      <c r="C574" s="302" t="s">
        <v>140</v>
      </c>
      <c r="D574" s="254" t="s">
        <v>422</v>
      </c>
      <c r="E574" s="254">
        <f>29-15</f>
        <v>14</v>
      </c>
      <c r="F574" s="254">
        <v>1</v>
      </c>
      <c r="G574" s="254">
        <f t="shared" si="180"/>
        <v>14</v>
      </c>
      <c r="H574" s="254"/>
      <c r="I574" s="299">
        <v>2893.7</v>
      </c>
      <c r="J574" s="300">
        <v>1.9442999999999999</v>
      </c>
      <c r="K574" s="299">
        <f t="shared" si="181"/>
        <v>5626.22</v>
      </c>
      <c r="L574" s="301">
        <f t="shared" si="182"/>
        <v>78767.08</v>
      </c>
      <c r="M574" s="154">
        <f t="shared" si="183"/>
        <v>15753.42</v>
      </c>
      <c r="N574" s="73">
        <f t="shared" si="184"/>
        <v>94520.5</v>
      </c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64"/>
      <c r="Z574" s="77">
        <v>158587.74000000002</v>
      </c>
      <c r="AA574" s="18">
        <v>95059.73</v>
      </c>
      <c r="AB574" s="22"/>
      <c r="AC574" s="22"/>
      <c r="AD574" s="22"/>
    </row>
    <row r="575" spans="1:30" s="20" customFormat="1" ht="76.5" x14ac:dyDescent="0.2">
      <c r="A575" s="335">
        <f t="shared" si="185"/>
        <v>467</v>
      </c>
      <c r="B575" s="257" t="s">
        <v>248</v>
      </c>
      <c r="C575" s="557" t="s">
        <v>137</v>
      </c>
      <c r="D575" s="254" t="s">
        <v>422</v>
      </c>
      <c r="E575" s="254">
        <v>50</v>
      </c>
      <c r="F575" s="254">
        <v>1</v>
      </c>
      <c r="G575" s="254">
        <f t="shared" si="180"/>
        <v>50</v>
      </c>
      <c r="H575" s="254"/>
      <c r="I575" s="299">
        <v>167.36</v>
      </c>
      <c r="J575" s="300">
        <v>1.9442999999999999</v>
      </c>
      <c r="K575" s="299">
        <f t="shared" si="181"/>
        <v>325.39999999999998</v>
      </c>
      <c r="L575" s="301">
        <f t="shared" si="182"/>
        <v>16270</v>
      </c>
      <c r="M575" s="154">
        <f t="shared" si="183"/>
        <v>3254</v>
      </c>
      <c r="N575" s="73">
        <f t="shared" si="184"/>
        <v>19524</v>
      </c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64"/>
      <c r="Z575" s="77">
        <v>134493.65</v>
      </c>
      <c r="AA575" s="18">
        <v>106563.25</v>
      </c>
      <c r="AB575" s="22"/>
      <c r="AC575" s="22"/>
      <c r="AD575" s="22"/>
    </row>
    <row r="576" spans="1:30" s="20" customFormat="1" ht="76.5" x14ac:dyDescent="0.2">
      <c r="A576" s="335">
        <f t="shared" si="185"/>
        <v>468</v>
      </c>
      <c r="B576" s="257" t="s">
        <v>249</v>
      </c>
      <c r="C576" s="302" t="s">
        <v>104</v>
      </c>
      <c r="D576" s="254" t="s">
        <v>411</v>
      </c>
      <c r="E576" s="254">
        <v>2.4</v>
      </c>
      <c r="F576" s="254">
        <v>1</v>
      </c>
      <c r="G576" s="254">
        <f t="shared" si="180"/>
        <v>2.4</v>
      </c>
      <c r="H576" s="254"/>
      <c r="I576" s="299">
        <v>5333.45</v>
      </c>
      <c r="J576" s="300">
        <v>1.9442999999999999</v>
      </c>
      <c r="K576" s="299">
        <f t="shared" si="181"/>
        <v>10369.83</v>
      </c>
      <c r="L576" s="301">
        <f t="shared" si="182"/>
        <v>24887.59</v>
      </c>
      <c r="M576" s="154">
        <f t="shared" si="183"/>
        <v>4977.5200000000004</v>
      </c>
      <c r="N576" s="73">
        <f t="shared" si="184"/>
        <v>29865.11</v>
      </c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64"/>
      <c r="Z576" s="77">
        <v>26823.599999999999</v>
      </c>
      <c r="AA576" s="18">
        <v>26797.3</v>
      </c>
      <c r="AB576" s="22"/>
      <c r="AC576" s="22"/>
      <c r="AD576" s="22"/>
    </row>
    <row r="577" spans="1:30" s="20" customFormat="1" ht="89.25" x14ac:dyDescent="0.2">
      <c r="A577" s="335">
        <f>A576+1</f>
        <v>469</v>
      </c>
      <c r="B577" s="257" t="s">
        <v>250</v>
      </c>
      <c r="C577" s="557" t="s">
        <v>112</v>
      </c>
      <c r="D577" s="254" t="s">
        <v>422</v>
      </c>
      <c r="E577" s="254">
        <v>100</v>
      </c>
      <c r="F577" s="254">
        <v>1</v>
      </c>
      <c r="G577" s="254">
        <f t="shared" si="180"/>
        <v>100</v>
      </c>
      <c r="H577" s="254"/>
      <c r="I577" s="299">
        <v>643.77</v>
      </c>
      <c r="J577" s="300">
        <v>1.9442999999999999</v>
      </c>
      <c r="K577" s="299">
        <f t="shared" si="181"/>
        <v>1251.68</v>
      </c>
      <c r="L577" s="301">
        <f t="shared" si="182"/>
        <v>125168</v>
      </c>
      <c r="M577" s="154">
        <f t="shared" si="183"/>
        <v>25033.599999999999</v>
      </c>
      <c r="N577" s="73">
        <f t="shared" si="184"/>
        <v>150201.60000000001</v>
      </c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64"/>
      <c r="Z577" s="77">
        <v>41029.980000000003</v>
      </c>
      <c r="AA577" s="18">
        <v>20494.939999999999</v>
      </c>
      <c r="AB577" s="22">
        <f>15*16/100</f>
        <v>2.4</v>
      </c>
      <c r="AC577" s="22" t="s">
        <v>330</v>
      </c>
      <c r="AD577" s="22"/>
    </row>
    <row r="578" spans="1:30" s="20" customFormat="1" ht="89.25" x14ac:dyDescent="0.2">
      <c r="A578" s="335">
        <f t="shared" si="185"/>
        <v>470</v>
      </c>
      <c r="B578" s="257" t="s">
        <v>251</v>
      </c>
      <c r="C578" s="302" t="s">
        <v>202</v>
      </c>
      <c r="D578" s="254" t="s">
        <v>446</v>
      </c>
      <c r="E578" s="254">
        <f>1311*0.2</f>
        <v>262.2</v>
      </c>
      <c r="F578" s="254">
        <v>1</v>
      </c>
      <c r="G578" s="254">
        <f t="shared" si="180"/>
        <v>262.2</v>
      </c>
      <c r="H578" s="254"/>
      <c r="I578" s="299">
        <v>38.590000000000003</v>
      </c>
      <c r="J578" s="300">
        <v>1.9442999999999999</v>
      </c>
      <c r="K578" s="299">
        <f t="shared" si="181"/>
        <v>75.03</v>
      </c>
      <c r="L578" s="301">
        <f t="shared" si="182"/>
        <v>19672.87</v>
      </c>
      <c r="M578" s="154">
        <f t="shared" si="183"/>
        <v>3934.57</v>
      </c>
      <c r="N578" s="73">
        <f t="shared" si="184"/>
        <v>23607.439999999999</v>
      </c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64"/>
      <c r="Z578" s="77">
        <v>200163.77000000002</v>
      </c>
      <c r="AA578" s="18">
        <v>140183.16</v>
      </c>
      <c r="AB578" s="22"/>
      <c r="AC578" s="22"/>
      <c r="AD578" s="22"/>
    </row>
    <row r="579" spans="1:30" s="20" customFormat="1" ht="51" x14ac:dyDescent="0.2">
      <c r="A579" s="335">
        <f t="shared" ref="A579:A587" si="186">A578+1</f>
        <v>471</v>
      </c>
      <c r="B579" s="257" t="s">
        <v>466</v>
      </c>
      <c r="C579" s="257" t="s">
        <v>467</v>
      </c>
      <c r="D579" s="254" t="s">
        <v>422</v>
      </c>
      <c r="E579" s="254">
        <f>526/2</f>
        <v>263</v>
      </c>
      <c r="F579" s="254">
        <v>1</v>
      </c>
      <c r="G579" s="254">
        <f t="shared" si="180"/>
        <v>263</v>
      </c>
      <c r="H579" s="254"/>
      <c r="I579" s="299">
        <v>98.67</v>
      </c>
      <c r="J579" s="300">
        <v>1.9442999999999999</v>
      </c>
      <c r="K579" s="299">
        <f t="shared" ref="K579:K585" si="187">ROUND(I579*J579,2)</f>
        <v>191.84</v>
      </c>
      <c r="L579" s="301">
        <f t="shared" ref="L579:L585" si="188">ROUND(K579*G579,2)</f>
        <v>50453.919999999998</v>
      </c>
      <c r="M579" s="154">
        <f t="shared" ref="M579:M585" si="189">ROUND(L579*0.2,2)</f>
        <v>10090.780000000001</v>
      </c>
      <c r="N579" s="73">
        <f t="shared" ref="N579:N585" si="190">ROUND(L579+M579,2)</f>
        <v>60544.7</v>
      </c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64"/>
      <c r="Z579" s="77">
        <v>81098.460000000006</v>
      </c>
      <c r="AA579" s="18">
        <v>81013.64</v>
      </c>
      <c r="AB579" s="22">
        <f>2622*0.5/100</f>
        <v>13.11</v>
      </c>
      <c r="AC579" s="22" t="s">
        <v>331</v>
      </c>
      <c r="AD579" s="22"/>
    </row>
    <row r="580" spans="1:30" s="20" customFormat="1" ht="51" x14ac:dyDescent="0.2">
      <c r="A580" s="335">
        <f t="shared" si="186"/>
        <v>472</v>
      </c>
      <c r="B580" s="257" t="s">
        <v>468</v>
      </c>
      <c r="C580" s="257" t="s">
        <v>469</v>
      </c>
      <c r="D580" s="254" t="s">
        <v>411</v>
      </c>
      <c r="E580" s="254">
        <v>8</v>
      </c>
      <c r="F580" s="254">
        <v>2</v>
      </c>
      <c r="G580" s="254">
        <f t="shared" si="180"/>
        <v>16</v>
      </c>
      <c r="H580" s="254"/>
      <c r="I580" s="299">
        <v>531.04</v>
      </c>
      <c r="J580" s="300">
        <v>1.9442999999999999</v>
      </c>
      <c r="K580" s="299">
        <f t="shared" si="187"/>
        <v>1032.5</v>
      </c>
      <c r="L580" s="301">
        <f t="shared" si="188"/>
        <v>16520</v>
      </c>
      <c r="M580" s="154">
        <f t="shared" si="189"/>
        <v>3304</v>
      </c>
      <c r="N580" s="73">
        <f t="shared" si="190"/>
        <v>19824</v>
      </c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64"/>
      <c r="Z580" s="77"/>
      <c r="AA580" s="18"/>
      <c r="AB580" s="22"/>
      <c r="AC580" s="22"/>
      <c r="AD580" s="22"/>
    </row>
    <row r="581" spans="1:30" s="20" customFormat="1" ht="51" x14ac:dyDescent="0.2">
      <c r="A581" s="335">
        <f t="shared" si="186"/>
        <v>473</v>
      </c>
      <c r="B581" s="257" t="s">
        <v>470</v>
      </c>
      <c r="C581" s="555" t="s">
        <v>471</v>
      </c>
      <c r="D581" s="254" t="s">
        <v>433</v>
      </c>
      <c r="E581" s="254">
        <v>2442</v>
      </c>
      <c r="F581" s="254">
        <v>2</v>
      </c>
      <c r="G581" s="254">
        <f t="shared" si="180"/>
        <v>4884</v>
      </c>
      <c r="H581" s="254"/>
      <c r="I581" s="299">
        <v>2.89</v>
      </c>
      <c r="J581" s="300">
        <v>1.9442999999999999</v>
      </c>
      <c r="K581" s="299">
        <f t="shared" si="187"/>
        <v>5.62</v>
      </c>
      <c r="L581" s="301">
        <f t="shared" si="188"/>
        <v>27448.080000000002</v>
      </c>
      <c r="M581" s="154">
        <f t="shared" si="189"/>
        <v>5489.62</v>
      </c>
      <c r="N581" s="73">
        <f t="shared" si="190"/>
        <v>32937.699999999997</v>
      </c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64"/>
      <c r="Z581" s="77"/>
      <c r="AA581" s="18"/>
      <c r="AB581" s="22"/>
      <c r="AC581" s="22"/>
      <c r="AD581" s="22"/>
    </row>
    <row r="582" spans="1:30" s="20" customFormat="1" ht="51" x14ac:dyDescent="0.2">
      <c r="A582" s="335">
        <f t="shared" si="186"/>
        <v>474</v>
      </c>
      <c r="B582" s="257" t="s">
        <v>472</v>
      </c>
      <c r="C582" s="257" t="s">
        <v>473</v>
      </c>
      <c r="D582" s="254" t="s">
        <v>422</v>
      </c>
      <c r="E582" s="254">
        <v>100</v>
      </c>
      <c r="F582" s="254">
        <v>1</v>
      </c>
      <c r="G582" s="254">
        <f t="shared" si="180"/>
        <v>100</v>
      </c>
      <c r="H582" s="254"/>
      <c r="I582" s="299">
        <v>101.02</v>
      </c>
      <c r="J582" s="300">
        <v>1.9442999999999999</v>
      </c>
      <c r="K582" s="299">
        <f t="shared" si="187"/>
        <v>196.41</v>
      </c>
      <c r="L582" s="301">
        <f t="shared" si="188"/>
        <v>19641</v>
      </c>
      <c r="M582" s="154">
        <f t="shared" si="189"/>
        <v>3928.2</v>
      </c>
      <c r="N582" s="73">
        <f t="shared" si="190"/>
        <v>23569.200000000001</v>
      </c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64"/>
      <c r="Z582" s="77"/>
      <c r="AA582" s="18"/>
      <c r="AB582" s="22"/>
      <c r="AC582" s="22"/>
      <c r="AD582" s="22"/>
    </row>
    <row r="583" spans="1:30" s="20" customFormat="1" ht="51" x14ac:dyDescent="0.2">
      <c r="A583" s="335">
        <f t="shared" si="186"/>
        <v>475</v>
      </c>
      <c r="B583" s="257" t="s">
        <v>474</v>
      </c>
      <c r="C583" s="556" t="s">
        <v>475</v>
      </c>
      <c r="D583" s="254" t="s">
        <v>433</v>
      </c>
      <c r="E583" s="254">
        <v>2442</v>
      </c>
      <c r="F583" s="254">
        <v>3</v>
      </c>
      <c r="G583" s="254">
        <f t="shared" si="180"/>
        <v>7326</v>
      </c>
      <c r="H583" s="254"/>
      <c r="I583" s="299">
        <v>0.57999999999999996</v>
      </c>
      <c r="J583" s="300">
        <v>1.9442999999999999</v>
      </c>
      <c r="K583" s="299">
        <f t="shared" si="187"/>
        <v>1.1299999999999999</v>
      </c>
      <c r="L583" s="301">
        <f t="shared" si="188"/>
        <v>8278.3799999999992</v>
      </c>
      <c r="M583" s="154">
        <f t="shared" si="189"/>
        <v>1655.68</v>
      </c>
      <c r="N583" s="73">
        <f t="shared" si="190"/>
        <v>9934.06</v>
      </c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64"/>
      <c r="Z583" s="77"/>
      <c r="AA583" s="18"/>
      <c r="AB583" s="22"/>
      <c r="AC583" s="22"/>
      <c r="AD583" s="22"/>
    </row>
    <row r="584" spans="1:30" s="20" customFormat="1" ht="51" x14ac:dyDescent="0.2">
      <c r="A584" s="335">
        <f t="shared" si="186"/>
        <v>476</v>
      </c>
      <c r="B584" s="257" t="s">
        <v>476</v>
      </c>
      <c r="C584" s="556" t="s">
        <v>477</v>
      </c>
      <c r="D584" s="254" t="s">
        <v>433</v>
      </c>
      <c r="E584" s="254">
        <v>50</v>
      </c>
      <c r="F584" s="254">
        <v>1</v>
      </c>
      <c r="G584" s="254">
        <f t="shared" si="180"/>
        <v>50</v>
      </c>
      <c r="H584" s="254"/>
      <c r="I584" s="299">
        <v>382.85</v>
      </c>
      <c r="J584" s="300">
        <v>1.9442999999999999</v>
      </c>
      <c r="K584" s="299">
        <f t="shared" si="187"/>
        <v>744.38</v>
      </c>
      <c r="L584" s="301">
        <f t="shared" si="188"/>
        <v>37219</v>
      </c>
      <c r="M584" s="154">
        <f t="shared" si="189"/>
        <v>7443.8</v>
      </c>
      <c r="N584" s="73">
        <f t="shared" si="190"/>
        <v>44662.8</v>
      </c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64"/>
      <c r="Z584" s="77"/>
      <c r="AA584" s="18"/>
      <c r="AB584" s="22"/>
      <c r="AC584" s="22"/>
      <c r="AD584" s="22"/>
    </row>
    <row r="585" spans="1:30" s="20" customFormat="1" ht="51" x14ac:dyDescent="0.2">
      <c r="A585" s="335">
        <f t="shared" si="186"/>
        <v>477</v>
      </c>
      <c r="B585" s="257" t="s">
        <v>478</v>
      </c>
      <c r="C585" s="556" t="s">
        <v>479</v>
      </c>
      <c r="D585" s="254" t="s">
        <v>422</v>
      </c>
      <c r="E585" s="254">
        <v>100</v>
      </c>
      <c r="F585" s="254">
        <v>1</v>
      </c>
      <c r="G585" s="254">
        <f t="shared" si="180"/>
        <v>100</v>
      </c>
      <c r="H585" s="254"/>
      <c r="I585" s="299">
        <v>209.02</v>
      </c>
      <c r="J585" s="300">
        <v>1.9442999999999999</v>
      </c>
      <c r="K585" s="299">
        <f t="shared" si="187"/>
        <v>406.4</v>
      </c>
      <c r="L585" s="301">
        <f t="shared" si="188"/>
        <v>40640</v>
      </c>
      <c r="M585" s="154">
        <f t="shared" si="189"/>
        <v>8128</v>
      </c>
      <c r="N585" s="73">
        <f t="shared" si="190"/>
        <v>48768</v>
      </c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64"/>
      <c r="Z585" s="77"/>
      <c r="AA585" s="18"/>
      <c r="AB585" s="22"/>
      <c r="AC585" s="22"/>
      <c r="AD585" s="22"/>
    </row>
    <row r="586" spans="1:30" s="20" customFormat="1" ht="63.75" x14ac:dyDescent="0.2">
      <c r="A586" s="335">
        <f t="shared" si="186"/>
        <v>478</v>
      </c>
      <c r="B586" s="257" t="s">
        <v>480</v>
      </c>
      <c r="C586" s="321" t="s">
        <v>509</v>
      </c>
      <c r="D586" s="254" t="s">
        <v>507</v>
      </c>
      <c r="E586" s="254">
        <v>4</v>
      </c>
      <c r="F586" s="254">
        <v>3</v>
      </c>
      <c r="G586" s="254">
        <f t="shared" si="180"/>
        <v>12</v>
      </c>
      <c r="H586" s="254"/>
      <c r="I586" s="299">
        <v>4248.72</v>
      </c>
      <c r="J586" s="300">
        <v>1.9442999999999999</v>
      </c>
      <c r="K586" s="299">
        <f>ROUND(I586*J586,2)</f>
        <v>8260.7900000000009</v>
      </c>
      <c r="L586" s="301">
        <f>ROUND(K586*G586,2)</f>
        <v>99129.48</v>
      </c>
      <c r="M586" s="154">
        <f>ROUND(L586*0.2,2)</f>
        <v>19825.900000000001</v>
      </c>
      <c r="N586" s="73">
        <f>ROUND(L586+M586,2)</f>
        <v>118955.38</v>
      </c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64"/>
      <c r="Z586" s="77"/>
      <c r="AA586" s="18"/>
      <c r="AB586" s="22"/>
      <c r="AC586" s="22"/>
      <c r="AD586" s="22"/>
    </row>
    <row r="587" spans="1:30" s="20" customFormat="1" ht="38.25" x14ac:dyDescent="0.2">
      <c r="A587" s="335">
        <f t="shared" si="186"/>
        <v>479</v>
      </c>
      <c r="B587" s="222" t="s">
        <v>480</v>
      </c>
      <c r="C587" s="257" t="s">
        <v>518</v>
      </c>
      <c r="D587" s="314" t="s">
        <v>508</v>
      </c>
      <c r="E587" s="297">
        <v>1</v>
      </c>
      <c r="F587" s="297">
        <v>92</v>
      </c>
      <c r="G587" s="297">
        <f t="shared" si="180"/>
        <v>92</v>
      </c>
      <c r="H587" s="254"/>
      <c r="I587" s="299">
        <v>535.76</v>
      </c>
      <c r="J587" s="308">
        <v>1</v>
      </c>
      <c r="K587" s="299">
        <f>ROUND(I587*J587,2)</f>
        <v>535.76</v>
      </c>
      <c r="L587" s="301">
        <f>ROUND(K587*G587,2)</f>
        <v>49289.919999999998</v>
      </c>
      <c r="M587" s="154">
        <f>ROUND(L587*0.2,2)</f>
        <v>9857.98</v>
      </c>
      <c r="N587" s="73">
        <f>ROUND(M587+L587,2)</f>
        <v>59147.9</v>
      </c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64"/>
      <c r="Z587" s="77"/>
      <c r="AA587" s="18"/>
      <c r="AB587" s="22"/>
      <c r="AC587" s="22"/>
      <c r="AD587" s="22"/>
    </row>
    <row r="588" spans="1:30" s="20" customFormat="1" ht="12.75" x14ac:dyDescent="0.2">
      <c r="A588" s="335"/>
      <c r="B588" s="257"/>
      <c r="C588" s="224" t="s">
        <v>88</v>
      </c>
      <c r="D588" s="254"/>
      <c r="E588" s="254"/>
      <c r="F588" s="254"/>
      <c r="G588" s="254"/>
      <c r="H588" s="254"/>
      <c r="I588" s="299"/>
      <c r="J588" s="300"/>
      <c r="K588" s="299"/>
      <c r="L588" s="301"/>
      <c r="M588" s="154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64"/>
      <c r="Z588" s="77"/>
      <c r="AA588" s="18"/>
      <c r="AB588" s="22"/>
      <c r="AC588" s="22"/>
      <c r="AD588" s="22"/>
    </row>
    <row r="589" spans="1:30" s="20" customFormat="1" ht="76.5" x14ac:dyDescent="0.2">
      <c r="A589" s="335">
        <f>A587+1</f>
        <v>480</v>
      </c>
      <c r="B589" s="257" t="s">
        <v>252</v>
      </c>
      <c r="C589" s="302" t="s">
        <v>171</v>
      </c>
      <c r="D589" s="254" t="s">
        <v>422</v>
      </c>
      <c r="E589" s="254">
        <v>800</v>
      </c>
      <c r="F589" s="254">
        <v>3</v>
      </c>
      <c r="G589" s="254">
        <f>ROUND(E589*F589,2)</f>
        <v>2400</v>
      </c>
      <c r="H589" s="254"/>
      <c r="I589" s="299">
        <v>12.79</v>
      </c>
      <c r="J589" s="300">
        <v>1.9442999999999999</v>
      </c>
      <c r="K589" s="299">
        <f>ROUND(I589*J589,2)</f>
        <v>24.87</v>
      </c>
      <c r="L589" s="301">
        <f>ROUND(K589*G589,2)</f>
        <v>59688</v>
      </c>
      <c r="M589" s="154">
        <f>ROUND(L589*0.2,2)</f>
        <v>11937.6</v>
      </c>
      <c r="N589" s="73">
        <f>ROUND(L589+M589,2)</f>
        <v>71625.600000000006</v>
      </c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64"/>
      <c r="Z589" s="77"/>
      <c r="AA589" s="18"/>
      <c r="AB589" s="22"/>
      <c r="AC589" s="22"/>
      <c r="AD589" s="22"/>
    </row>
    <row r="590" spans="1:30" s="20" customFormat="1" ht="25.5" x14ac:dyDescent="0.2">
      <c r="A590" s="335"/>
      <c r="B590" s="257"/>
      <c r="C590" s="224" t="s">
        <v>141</v>
      </c>
      <c r="D590" s="254"/>
      <c r="E590" s="254"/>
      <c r="F590" s="254"/>
      <c r="G590" s="254"/>
      <c r="H590" s="254"/>
      <c r="I590" s="299"/>
      <c r="J590" s="300"/>
      <c r="K590" s="299"/>
      <c r="L590" s="301"/>
      <c r="M590" s="154"/>
      <c r="N590" s="73"/>
      <c r="O590" s="524">
        <v>4492440.3399999989</v>
      </c>
      <c r="P590" s="73"/>
      <c r="Q590" s="73"/>
      <c r="R590" s="73"/>
      <c r="S590" s="73"/>
      <c r="T590" s="73"/>
      <c r="U590" s="73"/>
      <c r="V590" s="73"/>
      <c r="W590" s="73"/>
      <c r="X590" s="73"/>
      <c r="Y590" s="183">
        <f>SUM(N591:N612)</f>
        <v>7692185.8600000003</v>
      </c>
      <c r="Z590" s="77">
        <v>101309.52</v>
      </c>
      <c r="AA590" s="18">
        <v>101186.02</v>
      </c>
      <c r="AB590" s="22"/>
      <c r="AC590" s="22"/>
      <c r="AD590" s="22"/>
    </row>
    <row r="591" spans="1:30" s="20" customFormat="1" ht="76.5" x14ac:dyDescent="0.2">
      <c r="A591" s="335">
        <f>A589+1</f>
        <v>481</v>
      </c>
      <c r="B591" s="257" t="s">
        <v>253</v>
      </c>
      <c r="C591" s="302" t="s">
        <v>254</v>
      </c>
      <c r="D591" s="254" t="s">
        <v>354</v>
      </c>
      <c r="E591" s="254">
        <v>111.4</v>
      </c>
      <c r="F591" s="254">
        <v>6</v>
      </c>
      <c r="G591" s="254">
        <f>ROUND(E591*F591,2)</f>
        <v>668.4</v>
      </c>
      <c r="H591" s="254"/>
      <c r="I591" s="299">
        <v>35.01</v>
      </c>
      <c r="J591" s="300">
        <v>1.9442999999999999</v>
      </c>
      <c r="K591" s="299">
        <f t="shared" ref="K591:K606" si="191">ROUND(I591*J591,2)</f>
        <v>68.069999999999993</v>
      </c>
      <c r="L591" s="301">
        <f t="shared" ref="L591:L606" si="192">ROUND(K591*G591,2)</f>
        <v>45497.99</v>
      </c>
      <c r="M591" s="154">
        <f t="shared" ref="M591:M606" si="193">ROUND(L591*0.2,2)</f>
        <v>9099.6</v>
      </c>
      <c r="N591" s="73">
        <f t="shared" ref="N591:N606" si="194">ROUND(L591+M591,2)</f>
        <v>54597.59</v>
      </c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64"/>
      <c r="Z591" s="77"/>
      <c r="AA591" s="18"/>
      <c r="AB591" s="22"/>
      <c r="AC591" s="22"/>
      <c r="AD591" s="22"/>
    </row>
    <row r="592" spans="1:30" s="20" customFormat="1" ht="76.5" x14ac:dyDescent="0.2">
      <c r="A592" s="335">
        <f t="shared" ref="A592:A612" si="195">A591+1</f>
        <v>482</v>
      </c>
      <c r="B592" s="257" t="s">
        <v>255</v>
      </c>
      <c r="C592" s="302" t="s">
        <v>113</v>
      </c>
      <c r="D592" s="254" t="s">
        <v>354</v>
      </c>
      <c r="E592" s="254">
        <v>433.24</v>
      </c>
      <c r="F592" s="254">
        <v>6</v>
      </c>
      <c r="G592" s="254">
        <f t="shared" ref="G592:G604" si="196">ROUND(E592*F592,2)</f>
        <v>2599.44</v>
      </c>
      <c r="H592" s="254"/>
      <c r="I592" s="299">
        <v>101.44</v>
      </c>
      <c r="J592" s="300">
        <v>1.9442999999999999</v>
      </c>
      <c r="K592" s="299">
        <f t="shared" si="191"/>
        <v>197.23</v>
      </c>
      <c r="L592" s="301">
        <f t="shared" si="192"/>
        <v>512687.55</v>
      </c>
      <c r="M592" s="154">
        <f t="shared" si="193"/>
        <v>102537.51</v>
      </c>
      <c r="N592" s="73">
        <f t="shared" si="194"/>
        <v>615225.06000000006</v>
      </c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64"/>
      <c r="Z592" s="77"/>
      <c r="AA592" s="18"/>
      <c r="AB592" s="22"/>
      <c r="AC592" s="22"/>
      <c r="AD592" s="22"/>
    </row>
    <row r="593" spans="1:30" s="20" customFormat="1" ht="76.5" x14ac:dyDescent="0.2">
      <c r="A593" s="335">
        <f t="shared" si="195"/>
        <v>483</v>
      </c>
      <c r="B593" s="257" t="s">
        <v>256</v>
      </c>
      <c r="C593" s="302" t="s">
        <v>176</v>
      </c>
      <c r="D593" s="254" t="s">
        <v>354</v>
      </c>
      <c r="E593" s="254">
        <v>151.1</v>
      </c>
      <c r="F593" s="254">
        <v>5</v>
      </c>
      <c r="G593" s="254">
        <f t="shared" si="196"/>
        <v>755.5</v>
      </c>
      <c r="H593" s="254"/>
      <c r="I593" s="299">
        <v>100.49</v>
      </c>
      <c r="J593" s="300">
        <v>1.9442999999999999</v>
      </c>
      <c r="K593" s="299">
        <f t="shared" si="191"/>
        <v>195.38</v>
      </c>
      <c r="L593" s="301">
        <f t="shared" si="192"/>
        <v>147609.59</v>
      </c>
      <c r="M593" s="154">
        <f t="shared" si="193"/>
        <v>29521.919999999998</v>
      </c>
      <c r="N593" s="73">
        <f t="shared" si="194"/>
        <v>177131.51</v>
      </c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64"/>
      <c r="Z593" s="77"/>
      <c r="AA593" s="18"/>
      <c r="AB593" s="22"/>
      <c r="AC593" s="22"/>
      <c r="AD593" s="22"/>
    </row>
    <row r="594" spans="1:30" s="20" customFormat="1" ht="76.5" x14ac:dyDescent="0.2">
      <c r="A594" s="335">
        <f t="shared" si="195"/>
        <v>484</v>
      </c>
      <c r="B594" s="257" t="s">
        <v>257</v>
      </c>
      <c r="C594" s="302" t="s">
        <v>178</v>
      </c>
      <c r="D594" s="254" t="s">
        <v>432</v>
      </c>
      <c r="E594" s="254">
        <v>1127.3399999999999</v>
      </c>
      <c r="F594" s="254">
        <v>6</v>
      </c>
      <c r="G594" s="254">
        <f t="shared" si="196"/>
        <v>6764.04</v>
      </c>
      <c r="H594" s="254"/>
      <c r="I594" s="299">
        <v>126.79</v>
      </c>
      <c r="J594" s="300">
        <v>1.9442999999999999</v>
      </c>
      <c r="K594" s="299">
        <f t="shared" si="191"/>
        <v>246.52</v>
      </c>
      <c r="L594" s="301">
        <f t="shared" si="192"/>
        <v>1667471.14</v>
      </c>
      <c r="M594" s="154">
        <f t="shared" si="193"/>
        <v>333494.23</v>
      </c>
      <c r="N594" s="73">
        <f t="shared" si="194"/>
        <v>2000965.37</v>
      </c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64"/>
      <c r="Z594" s="77"/>
      <c r="AA594" s="18"/>
      <c r="AB594" s="22"/>
      <c r="AC594" s="22"/>
      <c r="AD594" s="22"/>
    </row>
    <row r="595" spans="1:30" s="20" customFormat="1" ht="76.5" x14ac:dyDescent="0.2">
      <c r="A595" s="335">
        <f t="shared" si="195"/>
        <v>485</v>
      </c>
      <c r="B595" s="257" t="s">
        <v>258</v>
      </c>
      <c r="C595" s="302" t="s">
        <v>180</v>
      </c>
      <c r="D595" s="254" t="s">
        <v>432</v>
      </c>
      <c r="E595" s="254">
        <v>453.3</v>
      </c>
      <c r="F595" s="254">
        <v>5</v>
      </c>
      <c r="G595" s="254">
        <f t="shared" si="196"/>
        <v>2266.5</v>
      </c>
      <c r="H595" s="254"/>
      <c r="I595" s="299">
        <v>57.42</v>
      </c>
      <c r="J595" s="300">
        <v>1.9442999999999999</v>
      </c>
      <c r="K595" s="299">
        <f t="shared" si="191"/>
        <v>111.64</v>
      </c>
      <c r="L595" s="301">
        <f t="shared" si="192"/>
        <v>253032.06</v>
      </c>
      <c r="M595" s="154">
        <f t="shared" si="193"/>
        <v>50606.41</v>
      </c>
      <c r="N595" s="73">
        <f t="shared" si="194"/>
        <v>303638.46999999997</v>
      </c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64"/>
      <c r="Z595" s="77"/>
      <c r="AA595" s="18"/>
      <c r="AB595" s="22"/>
      <c r="AC595" s="22"/>
      <c r="AD595" s="22"/>
    </row>
    <row r="596" spans="1:30" s="20" customFormat="1" ht="47.25" customHeight="1" x14ac:dyDescent="0.2">
      <c r="A596" s="335">
        <f t="shared" si="195"/>
        <v>486</v>
      </c>
      <c r="B596" s="257" t="s">
        <v>525</v>
      </c>
      <c r="C596" s="302" t="s">
        <v>260</v>
      </c>
      <c r="D596" s="254" t="s">
        <v>432</v>
      </c>
      <c r="E596" s="254">
        <v>404.3</v>
      </c>
      <c r="F596" s="254">
        <v>6</v>
      </c>
      <c r="G596" s="254">
        <f t="shared" si="196"/>
        <v>2425.8000000000002</v>
      </c>
      <c r="H596" s="254"/>
      <c r="I596" s="299">
        <v>26.46</v>
      </c>
      <c r="J596" s="300">
        <v>1.9442999999999999</v>
      </c>
      <c r="K596" s="299">
        <f t="shared" si="191"/>
        <v>51.45</v>
      </c>
      <c r="L596" s="301">
        <f t="shared" si="192"/>
        <v>124807.41</v>
      </c>
      <c r="M596" s="154">
        <f t="shared" si="193"/>
        <v>24961.48</v>
      </c>
      <c r="N596" s="73">
        <f t="shared" si="194"/>
        <v>149768.89000000001</v>
      </c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64"/>
      <c r="Z596" s="77"/>
      <c r="AA596" s="18"/>
      <c r="AB596" s="22"/>
      <c r="AC596" s="22"/>
      <c r="AD596" s="22"/>
    </row>
    <row r="597" spans="1:30" s="20" customFormat="1" ht="42" customHeight="1" x14ac:dyDescent="0.2">
      <c r="A597" s="335">
        <f t="shared" si="195"/>
        <v>487</v>
      </c>
      <c r="B597" s="257" t="s">
        <v>259</v>
      </c>
      <c r="C597" s="302" t="s">
        <v>261</v>
      </c>
      <c r="D597" s="254" t="s">
        <v>432</v>
      </c>
      <c r="E597" s="254">
        <v>404.3</v>
      </c>
      <c r="F597" s="254">
        <v>6</v>
      </c>
      <c r="G597" s="254">
        <f t="shared" si="196"/>
        <v>2425.8000000000002</v>
      </c>
      <c r="H597" s="254"/>
      <c r="I597" s="299">
        <v>41.19</v>
      </c>
      <c r="J597" s="300">
        <v>1.9442999999999999</v>
      </c>
      <c r="K597" s="299">
        <f t="shared" si="191"/>
        <v>80.09</v>
      </c>
      <c r="L597" s="301">
        <f t="shared" si="192"/>
        <v>194282.32</v>
      </c>
      <c r="M597" s="154">
        <f t="shared" si="193"/>
        <v>38856.46</v>
      </c>
      <c r="N597" s="73">
        <f t="shared" si="194"/>
        <v>233138.78</v>
      </c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64"/>
      <c r="Z597" s="77"/>
      <c r="AA597" s="18"/>
      <c r="AB597" s="22"/>
      <c r="AC597" s="22"/>
      <c r="AD597" s="22"/>
    </row>
    <row r="598" spans="1:30" s="20" customFormat="1" ht="53.25" customHeight="1" x14ac:dyDescent="0.2">
      <c r="A598" s="335">
        <f t="shared" si="195"/>
        <v>488</v>
      </c>
      <c r="B598" s="257" t="s">
        <v>262</v>
      </c>
      <c r="C598" s="302" t="s">
        <v>263</v>
      </c>
      <c r="D598" s="254" t="s">
        <v>439</v>
      </c>
      <c r="E598" s="254">
        <v>404.3</v>
      </c>
      <c r="F598" s="254">
        <v>5</v>
      </c>
      <c r="G598" s="254">
        <f t="shared" si="196"/>
        <v>2021.5</v>
      </c>
      <c r="H598" s="254"/>
      <c r="I598" s="299">
        <v>57.06</v>
      </c>
      <c r="J598" s="300">
        <v>1.9442999999999999</v>
      </c>
      <c r="K598" s="299">
        <f t="shared" si="191"/>
        <v>110.94</v>
      </c>
      <c r="L598" s="301">
        <f t="shared" si="192"/>
        <v>224265.21</v>
      </c>
      <c r="M598" s="154">
        <f t="shared" si="193"/>
        <v>44853.04</v>
      </c>
      <c r="N598" s="73">
        <f t="shared" si="194"/>
        <v>269118.25</v>
      </c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132">
        <f>N598+N599+N600</f>
        <v>2945974.34</v>
      </c>
      <c r="Z598" s="77"/>
      <c r="AA598" s="18"/>
      <c r="AB598" s="22"/>
      <c r="AC598" s="22"/>
      <c r="AD598" s="22"/>
    </row>
    <row r="599" spans="1:30" s="20" customFormat="1" ht="54" customHeight="1" x14ac:dyDescent="0.2">
      <c r="A599" s="335">
        <f t="shared" si="195"/>
        <v>489</v>
      </c>
      <c r="B599" s="257" t="s">
        <v>262</v>
      </c>
      <c r="C599" s="302" t="s">
        <v>526</v>
      </c>
      <c r="D599" s="254" t="s">
        <v>439</v>
      </c>
      <c r="E599" s="254">
        <v>472.5</v>
      </c>
      <c r="F599" s="254">
        <v>5</v>
      </c>
      <c r="G599" s="254">
        <f t="shared" si="196"/>
        <v>2362.5</v>
      </c>
      <c r="H599" s="254"/>
      <c r="I599" s="299">
        <v>57.06</v>
      </c>
      <c r="J599" s="300">
        <v>1.9442999999999999</v>
      </c>
      <c r="K599" s="299">
        <f t="shared" si="191"/>
        <v>110.94</v>
      </c>
      <c r="L599" s="301">
        <f t="shared" si="192"/>
        <v>262095.75</v>
      </c>
      <c r="M599" s="154">
        <f t="shared" si="193"/>
        <v>52419.15</v>
      </c>
      <c r="N599" s="73">
        <f t="shared" si="194"/>
        <v>314514.90000000002</v>
      </c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64"/>
      <c r="Z599" s="77"/>
      <c r="AA599" s="18"/>
      <c r="AB599" s="22"/>
      <c r="AC599" s="22"/>
      <c r="AD599" s="22"/>
    </row>
    <row r="600" spans="1:30" s="20" customFormat="1" ht="76.5" x14ac:dyDescent="0.2">
      <c r="A600" s="335">
        <f t="shared" si="195"/>
        <v>490</v>
      </c>
      <c r="B600" s="257" t="s">
        <v>129</v>
      </c>
      <c r="C600" s="302" t="s">
        <v>1</v>
      </c>
      <c r="D600" s="254" t="s">
        <v>355</v>
      </c>
      <c r="E600" s="299">
        <f>(E598+E599)*1000*300/1000/1000</f>
        <v>263.04000000000002</v>
      </c>
      <c r="F600" s="254">
        <v>5</v>
      </c>
      <c r="G600" s="254">
        <f t="shared" si="196"/>
        <v>1315.2</v>
      </c>
      <c r="H600" s="254"/>
      <c r="I600" s="299">
        <v>769.85</v>
      </c>
      <c r="J600" s="300">
        <v>1.9442999999999999</v>
      </c>
      <c r="K600" s="299">
        <f t="shared" si="191"/>
        <v>1496.82</v>
      </c>
      <c r="L600" s="301">
        <f t="shared" si="192"/>
        <v>1968617.66</v>
      </c>
      <c r="M600" s="154">
        <f t="shared" si="193"/>
        <v>393723.53</v>
      </c>
      <c r="N600" s="73">
        <f t="shared" si="194"/>
        <v>2362341.19</v>
      </c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64"/>
      <c r="Z600" s="77"/>
      <c r="AA600" s="18"/>
      <c r="AB600" s="22"/>
      <c r="AC600" s="22"/>
      <c r="AD600" s="22"/>
    </row>
    <row r="601" spans="1:30" s="20" customFormat="1" ht="78" customHeight="1" x14ac:dyDescent="0.2">
      <c r="A601" s="335">
        <f t="shared" si="195"/>
        <v>491</v>
      </c>
      <c r="B601" s="257" t="s">
        <v>264</v>
      </c>
      <c r="C601" s="302" t="s">
        <v>114</v>
      </c>
      <c r="D601" s="254" t="s">
        <v>439</v>
      </c>
      <c r="E601" s="254">
        <v>2.31</v>
      </c>
      <c r="F601" s="254">
        <v>4</v>
      </c>
      <c r="G601" s="254">
        <f t="shared" si="196"/>
        <v>9.24</v>
      </c>
      <c r="H601" s="254"/>
      <c r="I601" s="299">
        <v>8421.01</v>
      </c>
      <c r="J601" s="300">
        <v>1.9442999999999999</v>
      </c>
      <c r="K601" s="299">
        <f t="shared" si="191"/>
        <v>16372.97</v>
      </c>
      <c r="L601" s="301">
        <f t="shared" si="192"/>
        <v>151286.24</v>
      </c>
      <c r="M601" s="154">
        <f t="shared" si="193"/>
        <v>30257.25</v>
      </c>
      <c r="N601" s="73">
        <f t="shared" si="194"/>
        <v>181543.49</v>
      </c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64"/>
      <c r="Z601" s="77"/>
      <c r="AA601" s="18"/>
      <c r="AB601" s="22"/>
      <c r="AC601" s="22"/>
      <c r="AD601" s="22"/>
    </row>
    <row r="602" spans="1:30" s="20" customFormat="1" ht="76.5" x14ac:dyDescent="0.2">
      <c r="A602" s="335">
        <f t="shared" si="195"/>
        <v>492</v>
      </c>
      <c r="B602" s="257" t="s">
        <v>265</v>
      </c>
      <c r="C602" s="302" t="s">
        <v>92</v>
      </c>
      <c r="D602" s="254" t="s">
        <v>354</v>
      </c>
      <c r="E602" s="254">
        <v>200.29900000000001</v>
      </c>
      <c r="F602" s="254">
        <v>1</v>
      </c>
      <c r="G602" s="254">
        <f t="shared" si="196"/>
        <v>200.3</v>
      </c>
      <c r="H602" s="254"/>
      <c r="I602" s="299">
        <v>234.64</v>
      </c>
      <c r="J602" s="300">
        <v>1.9442999999999999</v>
      </c>
      <c r="K602" s="299">
        <f t="shared" si="191"/>
        <v>456.21</v>
      </c>
      <c r="L602" s="301">
        <f t="shared" si="192"/>
        <v>91378.86</v>
      </c>
      <c r="M602" s="154">
        <f t="shared" si="193"/>
        <v>18275.77</v>
      </c>
      <c r="N602" s="73">
        <f t="shared" si="194"/>
        <v>109654.63</v>
      </c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64"/>
      <c r="Z602" s="77"/>
      <c r="AA602" s="18"/>
      <c r="AB602" s="22"/>
      <c r="AC602" s="22"/>
      <c r="AD602" s="22"/>
    </row>
    <row r="603" spans="1:30" s="20" customFormat="1" ht="76.5" x14ac:dyDescent="0.2">
      <c r="A603" s="335">
        <f t="shared" si="195"/>
        <v>493</v>
      </c>
      <c r="B603" s="257" t="s">
        <v>266</v>
      </c>
      <c r="C603" s="302" t="s">
        <v>93</v>
      </c>
      <c r="D603" s="254" t="s">
        <v>354</v>
      </c>
      <c r="E603" s="254">
        <v>735.4</v>
      </c>
      <c r="F603" s="254">
        <v>1</v>
      </c>
      <c r="G603" s="254">
        <f t="shared" si="196"/>
        <v>735.4</v>
      </c>
      <c r="H603" s="254"/>
      <c r="I603" s="299">
        <v>238.67</v>
      </c>
      <c r="J603" s="300">
        <v>1.9442999999999999</v>
      </c>
      <c r="K603" s="299">
        <f t="shared" si="191"/>
        <v>464.05</v>
      </c>
      <c r="L603" s="301">
        <f t="shared" si="192"/>
        <v>341262.37</v>
      </c>
      <c r="M603" s="154">
        <f t="shared" si="193"/>
        <v>68252.47</v>
      </c>
      <c r="N603" s="73">
        <f t="shared" si="194"/>
        <v>409514.84</v>
      </c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64"/>
      <c r="Z603" s="77"/>
      <c r="AA603" s="18"/>
      <c r="AB603" s="22"/>
      <c r="AC603" s="22"/>
      <c r="AD603" s="22"/>
    </row>
    <row r="604" spans="1:30" s="20" customFormat="1" ht="76.5" x14ac:dyDescent="0.2">
      <c r="A604" s="335">
        <f t="shared" si="195"/>
        <v>494</v>
      </c>
      <c r="B604" s="257" t="s">
        <v>267</v>
      </c>
      <c r="C604" s="302" t="s">
        <v>94</v>
      </c>
      <c r="D604" s="254" t="s">
        <v>422</v>
      </c>
      <c r="E604" s="254">
        <v>430</v>
      </c>
      <c r="F604" s="254">
        <v>1</v>
      </c>
      <c r="G604" s="254">
        <f t="shared" si="196"/>
        <v>430</v>
      </c>
      <c r="H604" s="254"/>
      <c r="I604" s="299">
        <v>6.22</v>
      </c>
      <c r="J604" s="300">
        <v>1.9442999999999999</v>
      </c>
      <c r="K604" s="299">
        <f t="shared" si="191"/>
        <v>12.09</v>
      </c>
      <c r="L604" s="301">
        <f t="shared" si="192"/>
        <v>5198.7</v>
      </c>
      <c r="M604" s="154">
        <f t="shared" si="193"/>
        <v>1039.74</v>
      </c>
      <c r="N604" s="73">
        <f t="shared" si="194"/>
        <v>6238.44</v>
      </c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64"/>
      <c r="Z604" s="77"/>
      <c r="AA604" s="18"/>
      <c r="AB604" s="22"/>
      <c r="AC604" s="22"/>
      <c r="AD604" s="22"/>
    </row>
    <row r="605" spans="1:30" s="20" customFormat="1" ht="51" x14ac:dyDescent="0.2">
      <c r="A605" s="335">
        <f t="shared" si="195"/>
        <v>495</v>
      </c>
      <c r="B605" s="257" t="s">
        <v>482</v>
      </c>
      <c r="C605" s="257" t="s">
        <v>483</v>
      </c>
      <c r="D605" s="254" t="s">
        <v>422</v>
      </c>
      <c r="E605" s="254">
        <v>229</v>
      </c>
      <c r="F605" s="254">
        <v>1</v>
      </c>
      <c r="G605" s="254">
        <f t="shared" ref="G605:G611" si="197">ROUND(E605*F605,2)</f>
        <v>229</v>
      </c>
      <c r="H605" s="254"/>
      <c r="I605" s="299">
        <v>134.49</v>
      </c>
      <c r="J605" s="300">
        <v>1.9442999999999999</v>
      </c>
      <c r="K605" s="299">
        <f t="shared" si="191"/>
        <v>261.49</v>
      </c>
      <c r="L605" s="301">
        <f t="shared" si="192"/>
        <v>59881.21</v>
      </c>
      <c r="M605" s="154">
        <f t="shared" si="193"/>
        <v>11976.24</v>
      </c>
      <c r="N605" s="73">
        <f t="shared" si="194"/>
        <v>71857.45</v>
      </c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64"/>
      <c r="Z605" s="77"/>
      <c r="AA605" s="18"/>
      <c r="AB605" s="22"/>
      <c r="AC605" s="22"/>
      <c r="AD605" s="22"/>
    </row>
    <row r="606" spans="1:30" s="20" customFormat="1" ht="76.5" x14ac:dyDescent="0.2">
      <c r="A606" s="335">
        <f t="shared" si="195"/>
        <v>496</v>
      </c>
      <c r="B606" s="257" t="s">
        <v>268</v>
      </c>
      <c r="C606" s="302" t="s">
        <v>171</v>
      </c>
      <c r="D606" s="254" t="s">
        <v>422</v>
      </c>
      <c r="E606" s="254">
        <v>250</v>
      </c>
      <c r="F606" s="254">
        <v>3</v>
      </c>
      <c r="G606" s="254">
        <f t="shared" si="197"/>
        <v>750</v>
      </c>
      <c r="H606" s="254"/>
      <c r="I606" s="299">
        <v>12.79</v>
      </c>
      <c r="J606" s="300">
        <v>1.9442999999999999</v>
      </c>
      <c r="K606" s="299">
        <f t="shared" si="191"/>
        <v>24.87</v>
      </c>
      <c r="L606" s="301">
        <f t="shared" si="192"/>
        <v>18652.5</v>
      </c>
      <c r="M606" s="154">
        <f t="shared" si="193"/>
        <v>3730.5</v>
      </c>
      <c r="N606" s="73">
        <f t="shared" si="194"/>
        <v>22383</v>
      </c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64"/>
      <c r="Z606" s="77"/>
      <c r="AA606" s="18"/>
      <c r="AB606" s="22"/>
      <c r="AC606" s="22"/>
      <c r="AD606" s="22"/>
    </row>
    <row r="607" spans="1:30" s="20" customFormat="1" ht="51" x14ac:dyDescent="0.2">
      <c r="A607" s="335">
        <f t="shared" si="195"/>
        <v>497</v>
      </c>
      <c r="B607" s="257" t="s">
        <v>484</v>
      </c>
      <c r="C607" s="321" t="s">
        <v>485</v>
      </c>
      <c r="D607" s="254" t="s">
        <v>422</v>
      </c>
      <c r="E607" s="254">
        <v>841</v>
      </c>
      <c r="F607" s="254">
        <v>1</v>
      </c>
      <c r="G607" s="254">
        <f t="shared" si="197"/>
        <v>841</v>
      </c>
      <c r="H607" s="305"/>
      <c r="I607" s="299">
        <v>10.81</v>
      </c>
      <c r="J607" s="300">
        <v>1.9442999999999999</v>
      </c>
      <c r="K607" s="299">
        <f t="shared" ref="K607:K612" si="198">ROUND(I607*J607,2)</f>
        <v>21.02</v>
      </c>
      <c r="L607" s="301">
        <f t="shared" ref="L607:L612" si="199">ROUND(K607*G607,2)</f>
        <v>17677.82</v>
      </c>
      <c r="M607" s="154">
        <f t="shared" ref="M607:M612" si="200">ROUND(L607*0.2,2)</f>
        <v>3535.56</v>
      </c>
      <c r="N607" s="73">
        <f t="shared" ref="N607:N612" si="201">ROUND(L607+M607,2)</f>
        <v>21213.38</v>
      </c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64"/>
      <c r="Z607" s="77"/>
      <c r="AA607" s="18"/>
      <c r="AB607" s="22"/>
      <c r="AC607" s="22"/>
      <c r="AD607" s="22"/>
    </row>
    <row r="608" spans="1:30" s="20" customFormat="1" ht="51" x14ac:dyDescent="0.2">
      <c r="A608" s="335">
        <f t="shared" si="195"/>
        <v>498</v>
      </c>
      <c r="B608" s="321" t="s">
        <v>486</v>
      </c>
      <c r="C608" s="257" t="s">
        <v>487</v>
      </c>
      <c r="D608" s="254" t="s">
        <v>422</v>
      </c>
      <c r="E608" s="254">
        <f>1052</f>
        <v>1052</v>
      </c>
      <c r="F608" s="254">
        <v>2</v>
      </c>
      <c r="G608" s="254">
        <f t="shared" si="197"/>
        <v>2104</v>
      </c>
      <c r="H608" s="305"/>
      <c r="I608" s="299">
        <v>8.8800000000000008</v>
      </c>
      <c r="J608" s="300">
        <v>1.9442999999999999</v>
      </c>
      <c r="K608" s="299">
        <f t="shared" si="198"/>
        <v>17.27</v>
      </c>
      <c r="L608" s="301">
        <f t="shared" si="199"/>
        <v>36336.080000000002</v>
      </c>
      <c r="M608" s="154">
        <f t="shared" si="200"/>
        <v>7267.22</v>
      </c>
      <c r="N608" s="73">
        <f t="shared" si="201"/>
        <v>43603.3</v>
      </c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64"/>
      <c r="Z608" s="77"/>
      <c r="AA608" s="18"/>
      <c r="AB608" s="22"/>
      <c r="AC608" s="22"/>
      <c r="AD608" s="22"/>
    </row>
    <row r="609" spans="1:30" s="20" customFormat="1" ht="51" x14ac:dyDescent="0.2">
      <c r="A609" s="335">
        <f t="shared" si="195"/>
        <v>499</v>
      </c>
      <c r="B609" s="257" t="s">
        <v>488</v>
      </c>
      <c r="C609" s="257" t="s">
        <v>489</v>
      </c>
      <c r="D609" s="254" t="s">
        <v>433</v>
      </c>
      <c r="E609" s="254">
        <v>2442</v>
      </c>
      <c r="F609" s="254">
        <v>2</v>
      </c>
      <c r="G609" s="254">
        <f t="shared" si="197"/>
        <v>4884</v>
      </c>
      <c r="H609" s="305"/>
      <c r="I609" s="299">
        <v>1.99</v>
      </c>
      <c r="J609" s="300">
        <v>1.9442999999999999</v>
      </c>
      <c r="K609" s="299">
        <f t="shared" si="198"/>
        <v>3.87</v>
      </c>
      <c r="L609" s="301">
        <f t="shared" si="199"/>
        <v>18901.080000000002</v>
      </c>
      <c r="M609" s="154">
        <f t="shared" si="200"/>
        <v>3780.22</v>
      </c>
      <c r="N609" s="73">
        <f t="shared" si="201"/>
        <v>22681.3</v>
      </c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64"/>
      <c r="Z609" s="77"/>
      <c r="AA609" s="18"/>
      <c r="AB609" s="22"/>
      <c r="AC609" s="22"/>
      <c r="AD609" s="22"/>
    </row>
    <row r="610" spans="1:30" s="20" customFormat="1" ht="51" x14ac:dyDescent="0.2">
      <c r="A610" s="335">
        <f t="shared" si="195"/>
        <v>500</v>
      </c>
      <c r="B610" s="257" t="s">
        <v>490</v>
      </c>
      <c r="C610" s="257" t="s">
        <v>491</v>
      </c>
      <c r="D610" s="254" t="s">
        <v>433</v>
      </c>
      <c r="E610" s="254">
        <v>2442</v>
      </c>
      <c r="F610" s="254">
        <v>2</v>
      </c>
      <c r="G610" s="254">
        <f t="shared" si="197"/>
        <v>4884</v>
      </c>
      <c r="H610" s="305"/>
      <c r="I610" s="299">
        <v>4.8899999999999997</v>
      </c>
      <c r="J610" s="300">
        <v>1.9442999999999999</v>
      </c>
      <c r="K610" s="299">
        <f t="shared" si="198"/>
        <v>9.51</v>
      </c>
      <c r="L610" s="301">
        <f t="shared" si="199"/>
        <v>46446.84</v>
      </c>
      <c r="M610" s="154">
        <f t="shared" si="200"/>
        <v>9289.3700000000008</v>
      </c>
      <c r="N610" s="73">
        <f t="shared" si="201"/>
        <v>55736.21</v>
      </c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64"/>
      <c r="Z610" s="77"/>
      <c r="AA610" s="18"/>
      <c r="AB610" s="22"/>
      <c r="AC610" s="22"/>
      <c r="AD610" s="22"/>
    </row>
    <row r="611" spans="1:30" s="20" customFormat="1" ht="34.5" customHeight="1" x14ac:dyDescent="0.2">
      <c r="A611" s="335">
        <f t="shared" si="195"/>
        <v>501</v>
      </c>
      <c r="B611" s="220" t="s">
        <v>480</v>
      </c>
      <c r="C611" s="302" t="s">
        <v>512</v>
      </c>
      <c r="D611" s="254" t="s">
        <v>507</v>
      </c>
      <c r="E611" s="254">
        <v>7</v>
      </c>
      <c r="F611" s="254">
        <v>3</v>
      </c>
      <c r="G611" s="254">
        <f t="shared" si="197"/>
        <v>21</v>
      </c>
      <c r="H611" s="254"/>
      <c r="I611" s="299">
        <v>4248.72</v>
      </c>
      <c r="J611" s="300">
        <v>1.9442999999999999</v>
      </c>
      <c r="K611" s="299">
        <f t="shared" si="198"/>
        <v>8260.7900000000009</v>
      </c>
      <c r="L611" s="301">
        <f t="shared" si="199"/>
        <v>173476.59</v>
      </c>
      <c r="M611" s="154">
        <f t="shared" si="200"/>
        <v>34695.32</v>
      </c>
      <c r="N611" s="73">
        <f t="shared" si="201"/>
        <v>208171.91</v>
      </c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64"/>
      <c r="Z611" s="77"/>
      <c r="AA611" s="18"/>
      <c r="AB611" s="22"/>
      <c r="AC611" s="22"/>
      <c r="AD611" s="22"/>
    </row>
    <row r="612" spans="1:30" s="20" customFormat="1" ht="38.25" x14ac:dyDescent="0.2">
      <c r="A612" s="335">
        <f t="shared" si="195"/>
        <v>502</v>
      </c>
      <c r="B612" s="236" t="s">
        <v>480</v>
      </c>
      <c r="C612" s="257" t="s">
        <v>523</v>
      </c>
      <c r="D612" s="254" t="s">
        <v>507</v>
      </c>
      <c r="E612" s="254">
        <v>1</v>
      </c>
      <c r="F612" s="254">
        <v>92</v>
      </c>
      <c r="G612" s="254">
        <f>F612*E612</f>
        <v>92</v>
      </c>
      <c r="H612" s="254"/>
      <c r="I612" s="299">
        <v>535.76</v>
      </c>
      <c r="J612" s="308">
        <v>1</v>
      </c>
      <c r="K612" s="299">
        <f t="shared" si="198"/>
        <v>535.76</v>
      </c>
      <c r="L612" s="301">
        <f t="shared" si="199"/>
        <v>49289.919999999998</v>
      </c>
      <c r="M612" s="154">
        <f t="shared" si="200"/>
        <v>9857.98</v>
      </c>
      <c r="N612" s="73">
        <f t="shared" si="201"/>
        <v>59147.9</v>
      </c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64"/>
      <c r="Z612" s="77"/>
      <c r="AA612" s="18"/>
      <c r="AB612" s="22"/>
      <c r="AC612" s="22"/>
      <c r="AD612" s="22"/>
    </row>
    <row r="613" spans="1:30" s="20" customFormat="1" ht="38.25" x14ac:dyDescent="0.2">
      <c r="A613" s="335"/>
      <c r="B613" s="257"/>
      <c r="C613" s="228" t="s">
        <v>34</v>
      </c>
      <c r="D613" s="254"/>
      <c r="E613" s="254"/>
      <c r="F613" s="254"/>
      <c r="G613" s="254"/>
      <c r="H613" s="254"/>
      <c r="I613" s="299"/>
      <c r="J613" s="300"/>
      <c r="K613" s="299"/>
      <c r="L613" s="301"/>
      <c r="M613" s="154"/>
      <c r="N613" s="73"/>
      <c r="O613" s="530">
        <v>7692185.8600000003</v>
      </c>
      <c r="P613" s="73"/>
      <c r="Q613" s="73"/>
      <c r="R613" s="73"/>
      <c r="S613" s="73"/>
      <c r="T613" s="73"/>
      <c r="U613" s="73"/>
      <c r="V613" s="73"/>
      <c r="W613" s="73"/>
      <c r="X613" s="73"/>
      <c r="Y613" s="183">
        <f>SUM(N614:N617)</f>
        <v>168956.72999999998</v>
      </c>
      <c r="Z613" s="77"/>
      <c r="AA613" s="18"/>
      <c r="AB613" s="22"/>
      <c r="AC613" s="22"/>
      <c r="AD613" s="22"/>
    </row>
    <row r="614" spans="1:30" s="20" customFormat="1" ht="76.5" x14ac:dyDescent="0.2">
      <c r="A614" s="281">
        <f>A612+1</f>
        <v>503</v>
      </c>
      <c r="B614" s="257" t="s">
        <v>269</v>
      </c>
      <c r="C614" s="302" t="s">
        <v>89</v>
      </c>
      <c r="D614" s="254" t="s">
        <v>422</v>
      </c>
      <c r="E614" s="254">
        <v>5</v>
      </c>
      <c r="F614" s="254">
        <v>2</v>
      </c>
      <c r="G614" s="254">
        <f>ROUND(E614*F614,2)</f>
        <v>10</v>
      </c>
      <c r="H614" s="254"/>
      <c r="I614" s="299">
        <v>964.56</v>
      </c>
      <c r="J614" s="300">
        <v>1.9442999999999999</v>
      </c>
      <c r="K614" s="299">
        <f>ROUND(I614*J614,2)</f>
        <v>1875.39</v>
      </c>
      <c r="L614" s="301">
        <f>ROUND(K614*G614,2)</f>
        <v>18753.900000000001</v>
      </c>
      <c r="M614" s="154">
        <f>ROUND(L614*0.2,2)</f>
        <v>3750.78</v>
      </c>
      <c r="N614" s="73">
        <f>ROUND(L614+M614,2)</f>
        <v>22504.68</v>
      </c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64"/>
      <c r="Z614" s="77"/>
      <c r="AA614" s="18"/>
      <c r="AB614" s="22"/>
      <c r="AC614" s="22"/>
      <c r="AD614" s="22"/>
    </row>
    <row r="615" spans="1:30" s="20" customFormat="1" ht="63.75" x14ac:dyDescent="0.2">
      <c r="A615" s="335">
        <f>A614+1</f>
        <v>504</v>
      </c>
      <c r="B615" s="307" t="s">
        <v>414</v>
      </c>
      <c r="C615" s="302" t="s">
        <v>424</v>
      </c>
      <c r="D615" s="254" t="s">
        <v>422</v>
      </c>
      <c r="E615" s="254">
        <v>1</v>
      </c>
      <c r="F615" s="254">
        <v>2</v>
      </c>
      <c r="G615" s="254">
        <v>1</v>
      </c>
      <c r="H615" s="254"/>
      <c r="I615" s="299">
        <v>161.86000000000001</v>
      </c>
      <c r="J615" s="300">
        <v>9.86</v>
      </c>
      <c r="K615" s="299">
        <f>ROUND(I615*J615,2)</f>
        <v>1595.94</v>
      </c>
      <c r="L615" s="301">
        <f>ROUND(K615*G615,2)</f>
        <v>1595.94</v>
      </c>
      <c r="M615" s="154">
        <f>ROUND(L615*0.2,2)</f>
        <v>319.19</v>
      </c>
      <c r="N615" s="73">
        <f>ROUND(L615+M615,2)</f>
        <v>1915.13</v>
      </c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64"/>
      <c r="Z615" s="77"/>
      <c r="AA615" s="18">
        <v>4573.5</v>
      </c>
      <c r="AB615" s="22"/>
      <c r="AC615" s="22"/>
      <c r="AD615" s="22"/>
    </row>
    <row r="616" spans="1:30" s="20" customFormat="1" ht="102" x14ac:dyDescent="0.2">
      <c r="A616" s="335">
        <f>A615+1</f>
        <v>505</v>
      </c>
      <c r="B616" s="307" t="s">
        <v>427</v>
      </c>
      <c r="C616" s="302" t="s">
        <v>428</v>
      </c>
      <c r="D616" s="254" t="s">
        <v>422</v>
      </c>
      <c r="E616" s="254">
        <v>1</v>
      </c>
      <c r="F616" s="254">
        <v>2</v>
      </c>
      <c r="G616" s="254">
        <v>3</v>
      </c>
      <c r="H616" s="254"/>
      <c r="I616" s="299">
        <v>135.63999999999999</v>
      </c>
      <c r="J616" s="300">
        <v>9.86</v>
      </c>
      <c r="K616" s="299">
        <f>ROUND(I616*J616,2)</f>
        <v>1337.41</v>
      </c>
      <c r="L616" s="301">
        <f>ROUND(K616*G616,2)</f>
        <v>4012.23</v>
      </c>
      <c r="M616" s="154">
        <f>ROUND(L616*0.2,2)</f>
        <v>802.45</v>
      </c>
      <c r="N616" s="73">
        <f>ROUND(L616+M616,2)</f>
        <v>4814.68</v>
      </c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64"/>
      <c r="Z616" s="77"/>
      <c r="AA616" s="18">
        <v>15900.48</v>
      </c>
      <c r="AB616" s="22"/>
      <c r="AC616" s="22"/>
      <c r="AD616" s="22"/>
    </row>
    <row r="617" spans="1:30" s="20" customFormat="1" ht="105.75" customHeight="1" x14ac:dyDescent="0.2">
      <c r="A617" s="335">
        <f>A616+1</f>
        <v>506</v>
      </c>
      <c r="B617" s="257" t="s">
        <v>341</v>
      </c>
      <c r="C617" s="302" t="s">
        <v>90</v>
      </c>
      <c r="D617" s="254" t="s">
        <v>91</v>
      </c>
      <c r="E617" s="254">
        <v>14720</v>
      </c>
      <c r="F617" s="254">
        <v>1</v>
      </c>
      <c r="G617" s="254">
        <f>ROUND(E617*F617,2)</f>
        <v>14720</v>
      </c>
      <c r="H617" s="254">
        <v>8.52</v>
      </c>
      <c r="I617" s="299">
        <f>H617/1.2</f>
        <v>7.1</v>
      </c>
      <c r="J617" s="254">
        <v>1.1140000000000001</v>
      </c>
      <c r="K617" s="299">
        <f>ROUND(I617*J617,2)</f>
        <v>7.91</v>
      </c>
      <c r="L617" s="301">
        <f>ROUND(K617*G617,2)</f>
        <v>116435.2</v>
      </c>
      <c r="M617" s="154">
        <f>ROUND(L617*0.2,2)</f>
        <v>23287.040000000001</v>
      </c>
      <c r="N617" s="73">
        <f>ROUND(L617+M617,2)</f>
        <v>139722.23999999999</v>
      </c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144">
        <v>180094.3</v>
      </c>
      <c r="Z617" s="77"/>
      <c r="AA617" s="18">
        <v>14629.68</v>
      </c>
      <c r="AB617" s="22"/>
      <c r="AC617" s="22"/>
      <c r="AD617" s="22"/>
    </row>
    <row r="618" spans="1:30" s="20" customFormat="1" ht="25.5" x14ac:dyDescent="0.2">
      <c r="A618" s="294"/>
      <c r="B618" s="342"/>
      <c r="C618" s="228" t="s">
        <v>35</v>
      </c>
      <c r="D618" s="229"/>
      <c r="E618" s="229"/>
      <c r="F618" s="229"/>
      <c r="G618" s="229"/>
      <c r="H618" s="217"/>
      <c r="I618" s="309"/>
      <c r="J618" s="254"/>
      <c r="K618" s="299"/>
      <c r="L618" s="301"/>
      <c r="M618" s="154"/>
      <c r="N618" s="250"/>
      <c r="O618" s="525">
        <v>168956.72999999998</v>
      </c>
      <c r="P618" s="73"/>
      <c r="Q618" s="73"/>
      <c r="R618" s="73"/>
      <c r="S618" s="73"/>
      <c r="T618" s="73"/>
      <c r="U618" s="73"/>
      <c r="V618" s="73"/>
      <c r="W618" s="73"/>
      <c r="X618" s="73"/>
      <c r="Y618" s="183">
        <f>SUM(N619:N624)</f>
        <v>5838.35</v>
      </c>
      <c r="Z618" s="159">
        <f>Y617*0.4</f>
        <v>72037.72</v>
      </c>
      <c r="AA618" s="79">
        <v>228735</v>
      </c>
      <c r="AB618" s="19" t="e">
        <f>N617+#REF!+#REF!+#REF!+N616+N615+N614</f>
        <v>#REF!</v>
      </c>
      <c r="AC618" s="22"/>
      <c r="AD618" s="22"/>
    </row>
    <row r="619" spans="1:30" s="20" customFormat="1" ht="165.75" x14ac:dyDescent="0.2">
      <c r="A619" s="350">
        <f>A617+1</f>
        <v>507</v>
      </c>
      <c r="B619" s="328" t="s">
        <v>353</v>
      </c>
      <c r="C619" s="302" t="s">
        <v>368</v>
      </c>
      <c r="D619" s="303" t="s">
        <v>354</v>
      </c>
      <c r="E619" s="303">
        <v>0.1</v>
      </c>
      <c r="F619" s="254">
        <v>1</v>
      </c>
      <c r="G619" s="254">
        <f t="shared" ref="G619:G624" si="202">F619*E619</f>
        <v>0.1</v>
      </c>
      <c r="H619" s="254">
        <v>279.35000000000002</v>
      </c>
      <c r="I619" s="309">
        <f t="shared" ref="I619:I624" si="203">H619/1.2</f>
        <v>232.79166666666669</v>
      </c>
      <c r="J619" s="254">
        <v>12.985200000000001</v>
      </c>
      <c r="K619" s="299">
        <f t="shared" ref="K619:K624" si="204">J619*I619</f>
        <v>3022.8463500000003</v>
      </c>
      <c r="L619" s="301">
        <f t="shared" ref="L619:L624" si="205">ROUND(K619*G619,2)</f>
        <v>302.27999999999997</v>
      </c>
      <c r="M619" s="154">
        <f t="shared" ref="M619:M626" si="206">ROUND(L619*0.2,2)</f>
        <v>60.46</v>
      </c>
      <c r="N619" s="250">
        <f t="shared" ref="N619:N624" si="207">ROUND(L619+M619,2)</f>
        <v>362.74</v>
      </c>
      <c r="O619" s="516"/>
      <c r="P619" s="516"/>
      <c r="Q619" s="516"/>
      <c r="R619" s="516"/>
      <c r="S619" s="516"/>
      <c r="T619" s="516"/>
      <c r="U619" s="516"/>
      <c r="V619" s="516"/>
      <c r="W619" s="516"/>
      <c r="X619" s="516"/>
      <c r="Y619" s="121"/>
      <c r="Z619" s="160">
        <f>Y617-Z618</f>
        <v>108056.57999999999</v>
      </c>
      <c r="AA619" s="87">
        <v>1224987.3899999999</v>
      </c>
      <c r="AB619" s="22" t="s">
        <v>369</v>
      </c>
      <c r="AC619" s="22"/>
      <c r="AD619" s="22"/>
    </row>
    <row r="620" spans="1:30" s="20" customFormat="1" ht="178.5" x14ac:dyDescent="0.2">
      <c r="A620" s="350">
        <f>A619+1</f>
        <v>508</v>
      </c>
      <c r="B620" s="328" t="s">
        <v>349</v>
      </c>
      <c r="C620" s="302" t="s">
        <v>356</v>
      </c>
      <c r="D620" s="330" t="s">
        <v>355</v>
      </c>
      <c r="E620" s="330">
        <v>6.5000000000000006E-3</v>
      </c>
      <c r="F620" s="254">
        <v>1</v>
      </c>
      <c r="G620" s="254">
        <f t="shared" si="202"/>
        <v>6.5000000000000006E-3</v>
      </c>
      <c r="H620" s="254">
        <v>19696.099999999999</v>
      </c>
      <c r="I620" s="309">
        <f t="shared" si="203"/>
        <v>16413.416666666668</v>
      </c>
      <c r="J620" s="254">
        <v>12.985200000000001</v>
      </c>
      <c r="K620" s="299">
        <f t="shared" si="204"/>
        <v>213131.49810000003</v>
      </c>
      <c r="L620" s="301">
        <f t="shared" si="205"/>
        <v>1385.35</v>
      </c>
      <c r="M620" s="154">
        <f t="shared" si="206"/>
        <v>277.07</v>
      </c>
      <c r="N620" s="250">
        <f t="shared" si="207"/>
        <v>1662.42</v>
      </c>
      <c r="O620" s="516"/>
      <c r="P620" s="516"/>
      <c r="Q620" s="516"/>
      <c r="R620" s="516"/>
      <c r="S620" s="516"/>
      <c r="T620" s="516"/>
      <c r="U620" s="516"/>
      <c r="V620" s="516"/>
      <c r="W620" s="516"/>
      <c r="X620" s="516"/>
      <c r="Y620" s="121"/>
      <c r="Z620" s="111"/>
      <c r="AA620" s="42">
        <v>615.16999999999996</v>
      </c>
      <c r="AB620" s="50">
        <f>SUM(N613:N617)</f>
        <v>168956.72999999998</v>
      </c>
      <c r="AC620" s="51"/>
      <c r="AD620" s="22"/>
    </row>
    <row r="621" spans="1:30" s="20" customFormat="1" ht="178.5" x14ac:dyDescent="0.2">
      <c r="A621" s="350">
        <f>A620+1</f>
        <v>509</v>
      </c>
      <c r="B621" s="328" t="s">
        <v>347</v>
      </c>
      <c r="C621" s="302" t="s">
        <v>357</v>
      </c>
      <c r="D621" s="303" t="s">
        <v>355</v>
      </c>
      <c r="E621" s="303">
        <v>2.5000000000000001E-3</v>
      </c>
      <c r="F621" s="254">
        <v>1</v>
      </c>
      <c r="G621" s="254">
        <f t="shared" si="202"/>
        <v>2.5000000000000001E-3</v>
      </c>
      <c r="H621" s="254">
        <v>437.82</v>
      </c>
      <c r="I621" s="309">
        <f t="shared" si="203"/>
        <v>364.85</v>
      </c>
      <c r="J621" s="254">
        <v>12.985200000000001</v>
      </c>
      <c r="K621" s="299">
        <f t="shared" si="204"/>
        <v>4737.6502200000004</v>
      </c>
      <c r="L621" s="301">
        <f t="shared" si="205"/>
        <v>11.84</v>
      </c>
      <c r="M621" s="154">
        <f t="shared" si="206"/>
        <v>2.37</v>
      </c>
      <c r="N621" s="250">
        <f t="shared" si="207"/>
        <v>14.21</v>
      </c>
      <c r="O621" s="516"/>
      <c r="P621" s="516"/>
      <c r="Q621" s="516"/>
      <c r="R621" s="516"/>
      <c r="S621" s="516"/>
      <c r="T621" s="516"/>
      <c r="U621" s="516"/>
      <c r="V621" s="516"/>
      <c r="W621" s="516"/>
      <c r="X621" s="516"/>
      <c r="Y621" s="121"/>
      <c r="Z621" s="111">
        <v>1608.9881962700001</v>
      </c>
      <c r="AA621" s="42">
        <v>2819.31</v>
      </c>
      <c r="AB621" s="52">
        <v>6.5000000000000002E-2</v>
      </c>
      <c r="AC621" s="52"/>
      <c r="AD621" s="22"/>
    </row>
    <row r="622" spans="1:30" s="20" customFormat="1" ht="165.75" x14ac:dyDescent="0.2">
      <c r="A622" s="350">
        <f>A621+1</f>
        <v>510</v>
      </c>
      <c r="B622" s="328" t="s">
        <v>363</v>
      </c>
      <c r="C622" s="302" t="s">
        <v>364</v>
      </c>
      <c r="D622" s="303" t="s">
        <v>354</v>
      </c>
      <c r="E622" s="303">
        <v>7.0000000000000001E-3</v>
      </c>
      <c r="F622" s="254">
        <v>1</v>
      </c>
      <c r="G622" s="254">
        <f t="shared" si="202"/>
        <v>7.0000000000000001E-3</v>
      </c>
      <c r="H622" s="254">
        <v>476.42</v>
      </c>
      <c r="I622" s="309">
        <f t="shared" si="203"/>
        <v>397.01666666666671</v>
      </c>
      <c r="J622" s="254">
        <v>12.985200000000001</v>
      </c>
      <c r="K622" s="299">
        <f t="shared" si="204"/>
        <v>5155.3408200000013</v>
      </c>
      <c r="L622" s="301">
        <f t="shared" si="205"/>
        <v>36.090000000000003</v>
      </c>
      <c r="M622" s="154">
        <f t="shared" si="206"/>
        <v>7.22</v>
      </c>
      <c r="N622" s="250">
        <f t="shared" si="207"/>
        <v>43.31</v>
      </c>
      <c r="O622" s="516"/>
      <c r="P622" s="516"/>
      <c r="Q622" s="516"/>
      <c r="R622" s="516"/>
      <c r="S622" s="516"/>
      <c r="T622" s="516"/>
      <c r="U622" s="516"/>
      <c r="V622" s="516"/>
      <c r="W622" s="516"/>
      <c r="X622" s="516"/>
      <c r="Y622" s="121"/>
      <c r="Z622" s="111">
        <v>13.756085490000002</v>
      </c>
      <c r="AA622" s="42">
        <v>24.1</v>
      </c>
      <c r="AB622" s="36">
        <v>2.5000000000000001E-4</v>
      </c>
      <c r="AC622" s="52">
        <v>100</v>
      </c>
      <c r="AD622" s="22"/>
    </row>
    <row r="623" spans="1:30" s="20" customFormat="1" ht="178.5" x14ac:dyDescent="0.2">
      <c r="A623" s="350">
        <f>A622+1</f>
        <v>511</v>
      </c>
      <c r="B623" s="328" t="s">
        <v>349</v>
      </c>
      <c r="C623" s="302" t="s">
        <v>358</v>
      </c>
      <c r="D623" s="330" t="s">
        <v>355</v>
      </c>
      <c r="E623" s="330">
        <v>1.456E-2</v>
      </c>
      <c r="F623" s="254">
        <v>1</v>
      </c>
      <c r="G623" s="254">
        <f t="shared" si="202"/>
        <v>1.456E-2</v>
      </c>
      <c r="H623" s="254">
        <v>19696.099999999999</v>
      </c>
      <c r="I623" s="309">
        <f t="shared" si="203"/>
        <v>16413.416666666668</v>
      </c>
      <c r="J623" s="254">
        <v>12.985200000000001</v>
      </c>
      <c r="K623" s="299">
        <f t="shared" si="204"/>
        <v>213131.49810000003</v>
      </c>
      <c r="L623" s="301">
        <f t="shared" si="205"/>
        <v>3103.19</v>
      </c>
      <c r="M623" s="154">
        <f t="shared" si="206"/>
        <v>620.64</v>
      </c>
      <c r="N623" s="250">
        <f t="shared" si="207"/>
        <v>3723.83</v>
      </c>
      <c r="O623" s="516"/>
      <c r="P623" s="516"/>
      <c r="Q623" s="516"/>
      <c r="R623" s="516"/>
      <c r="S623" s="516"/>
      <c r="T623" s="516"/>
      <c r="U623" s="516"/>
      <c r="V623" s="516"/>
      <c r="W623" s="516"/>
      <c r="X623" s="516"/>
      <c r="Y623" s="121"/>
      <c r="Z623" s="111">
        <v>41.912858932000006</v>
      </c>
      <c r="AA623" s="42">
        <v>73.44</v>
      </c>
      <c r="AB623" s="52"/>
      <c r="AC623" s="52"/>
      <c r="AD623" s="22"/>
    </row>
    <row r="624" spans="1:30" s="20" customFormat="1" ht="178.5" x14ac:dyDescent="0.2">
      <c r="A624" s="350">
        <f>A623+1</f>
        <v>512</v>
      </c>
      <c r="B624" s="328" t="s">
        <v>347</v>
      </c>
      <c r="C624" s="302" t="s">
        <v>357</v>
      </c>
      <c r="D624" s="303" t="s">
        <v>355</v>
      </c>
      <c r="E624" s="303">
        <v>5.5999999999999999E-3</v>
      </c>
      <c r="F624" s="254">
        <v>1</v>
      </c>
      <c r="G624" s="254">
        <f t="shared" si="202"/>
        <v>5.5999999999999999E-3</v>
      </c>
      <c r="H624" s="254">
        <v>437.82</v>
      </c>
      <c r="I624" s="309">
        <f t="shared" si="203"/>
        <v>364.85</v>
      </c>
      <c r="J624" s="254">
        <v>12.985200000000001</v>
      </c>
      <c r="K624" s="299">
        <f t="shared" si="204"/>
        <v>4737.6502200000004</v>
      </c>
      <c r="L624" s="301">
        <f t="shared" si="205"/>
        <v>26.53</v>
      </c>
      <c r="M624" s="154">
        <f t="shared" si="206"/>
        <v>5.31</v>
      </c>
      <c r="N624" s="73">
        <f t="shared" si="207"/>
        <v>31.84</v>
      </c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134">
        <v>5838.35</v>
      </c>
      <c r="Z624" s="112">
        <v>3604.1335596448002</v>
      </c>
      <c r="AA624" s="42">
        <v>6315.2539999999999</v>
      </c>
      <c r="AB624" s="52">
        <v>0.33600000000000002</v>
      </c>
      <c r="AC624" s="52"/>
      <c r="AD624" s="22">
        <f>E624/0.25*0.65</f>
        <v>1.456E-2</v>
      </c>
    </row>
    <row r="625" spans="1:31" s="20" customFormat="1" ht="12.75" x14ac:dyDescent="0.2">
      <c r="A625" s="350"/>
      <c r="B625" s="328"/>
      <c r="C625" s="302"/>
      <c r="D625" s="303"/>
      <c r="E625" s="303"/>
      <c r="F625" s="254"/>
      <c r="G625" s="254"/>
      <c r="H625" s="254"/>
      <c r="I625" s="309"/>
      <c r="J625" s="254"/>
      <c r="K625" s="299"/>
      <c r="L625" s="301"/>
      <c r="M625" s="154"/>
      <c r="N625" s="73"/>
      <c r="O625" s="529">
        <v>5838.35</v>
      </c>
      <c r="P625" s="73"/>
      <c r="Q625" s="73"/>
      <c r="R625" s="73"/>
      <c r="S625" s="73"/>
      <c r="T625" s="73"/>
      <c r="U625" s="73"/>
      <c r="V625" s="73"/>
      <c r="W625" s="73"/>
      <c r="X625" s="73"/>
      <c r="Y625" s="134"/>
      <c r="Z625" s="112"/>
      <c r="AA625" s="42"/>
      <c r="AB625" s="52"/>
      <c r="AC625" s="52"/>
      <c r="AD625" s="22"/>
    </row>
    <row r="626" spans="1:31" s="20" customFormat="1" ht="25.5" x14ac:dyDescent="0.2">
      <c r="A626" s="335"/>
      <c r="B626" s="364"/>
      <c r="C626" s="175" t="s">
        <v>527</v>
      </c>
      <c r="D626" s="240"/>
      <c r="E626" s="239"/>
      <c r="F626" s="239"/>
      <c r="G626" s="260"/>
      <c r="H626" s="239"/>
      <c r="I626" s="239"/>
      <c r="J626" s="239"/>
      <c r="K626" s="239"/>
      <c r="L626" s="260">
        <f>SUM(L548:L624)+0.005</f>
        <v>10299517.724999996</v>
      </c>
      <c r="M626" s="78">
        <f t="shared" si="206"/>
        <v>2059903.55</v>
      </c>
      <c r="N626" s="265">
        <f>L626+M626</f>
        <v>12359421.274999997</v>
      </c>
      <c r="O626" s="265"/>
      <c r="P626" s="265"/>
      <c r="Q626" s="265"/>
      <c r="R626" s="265"/>
      <c r="S626" s="265"/>
      <c r="T626" s="265"/>
      <c r="U626" s="265"/>
      <c r="V626" s="265"/>
      <c r="W626" s="265"/>
      <c r="X626" s="265"/>
      <c r="Y626" s="134">
        <v>5838.35</v>
      </c>
      <c r="Z626" s="105">
        <v>30.813631497600007</v>
      </c>
      <c r="AA626" s="42">
        <v>53.991999999999997</v>
      </c>
      <c r="AB626" s="36">
        <v>2.5000000000000001E-4</v>
      </c>
      <c r="AC626" s="52">
        <v>3200</v>
      </c>
      <c r="AD626" s="22"/>
    </row>
    <row r="627" spans="1:31" s="20" customFormat="1" ht="12.75" hidden="1" x14ac:dyDescent="0.2">
      <c r="A627" s="335"/>
      <c r="B627" s="257"/>
      <c r="C627" s="212" t="s">
        <v>270</v>
      </c>
      <c r="D627" s="284"/>
      <c r="E627" s="286"/>
      <c r="F627" s="286"/>
      <c r="G627" s="286"/>
      <c r="H627" s="286"/>
      <c r="I627" s="286"/>
      <c r="J627" s="336"/>
      <c r="K627" s="336"/>
      <c r="L627" s="337"/>
      <c r="M627" s="9"/>
      <c r="N627" s="338"/>
      <c r="O627" s="338" t="s">
        <v>408</v>
      </c>
      <c r="P627" s="338" t="s">
        <v>409</v>
      </c>
      <c r="Q627" s="338" t="s">
        <v>75</v>
      </c>
      <c r="R627" s="338"/>
      <c r="S627" s="338"/>
      <c r="T627" s="338"/>
      <c r="U627" s="338"/>
      <c r="V627" s="338"/>
      <c r="W627" s="338"/>
      <c r="X627" s="338"/>
      <c r="Y627" s="10"/>
      <c r="Z627" s="158"/>
      <c r="AA627" s="42"/>
      <c r="AB627" s="81"/>
      <c r="AC627" s="82"/>
      <c r="AD627" s="22"/>
    </row>
    <row r="628" spans="1:31" s="20" customFormat="1" ht="25.5" hidden="1" x14ac:dyDescent="0.2">
      <c r="A628" s="335"/>
      <c r="B628" s="257"/>
      <c r="C628" s="67" t="s">
        <v>146</v>
      </c>
      <c r="D628" s="168"/>
      <c r="E628" s="339"/>
      <c r="F628" s="173"/>
      <c r="G628" s="340"/>
      <c r="H628" s="167"/>
      <c r="I628" s="167"/>
      <c r="J628" s="167"/>
      <c r="K628" s="167"/>
      <c r="L628" s="340"/>
      <c r="M628" s="341"/>
      <c r="N628" s="174"/>
      <c r="O628" s="542">
        <f>O668</f>
        <v>4001542.0199999996</v>
      </c>
      <c r="P628" s="543">
        <f>O689</f>
        <v>7625709.2499999991</v>
      </c>
      <c r="Q628" s="544">
        <f>O703</f>
        <v>19175.539999999997</v>
      </c>
      <c r="R628" s="171">
        <f>Q628+P628+O628</f>
        <v>11646426.809999999</v>
      </c>
      <c r="S628" s="174"/>
      <c r="T628" s="174"/>
      <c r="U628" s="174"/>
      <c r="V628" s="174"/>
      <c r="W628" s="174"/>
      <c r="X628" s="174"/>
      <c r="Y628" s="61"/>
      <c r="Z628" s="99">
        <v>5977785.2169555565</v>
      </c>
      <c r="AA628" s="18">
        <v>16111329.476</v>
      </c>
      <c r="AB628" s="22"/>
      <c r="AC628" s="22"/>
      <c r="AD628" s="22"/>
    </row>
    <row r="629" spans="1:31" s="20" customFormat="1" ht="25.5" hidden="1" x14ac:dyDescent="0.2">
      <c r="A629" s="335"/>
      <c r="B629" s="257"/>
      <c r="C629" s="207" t="s">
        <v>271</v>
      </c>
      <c r="D629" s="292"/>
      <c r="E629" s="170"/>
      <c r="F629" s="282"/>
      <c r="G629" s="167"/>
      <c r="H629" s="293"/>
      <c r="I629" s="293"/>
      <c r="J629" s="293"/>
      <c r="K629" s="293"/>
      <c r="L629" s="167"/>
      <c r="M629" s="171"/>
      <c r="N629" s="172"/>
      <c r="O629" s="171">
        <f>O628+Q628</f>
        <v>4020717.5599999996</v>
      </c>
      <c r="P629" s="172"/>
      <c r="Q629" s="172"/>
      <c r="R629" s="172"/>
      <c r="S629" s="172"/>
      <c r="T629" s="172"/>
      <c r="U629" s="172"/>
      <c r="V629" s="172"/>
      <c r="W629" s="172"/>
      <c r="X629" s="172"/>
      <c r="Y629" s="55">
        <f>Y631+Y633</f>
        <v>15653421.330000002</v>
      </c>
      <c r="Z629" s="183">
        <f>SUM(N630:N667)</f>
        <v>4001542.0199999996</v>
      </c>
      <c r="AA629" s="18"/>
      <c r="AB629" s="22"/>
      <c r="AC629" s="22"/>
      <c r="AD629" s="22"/>
    </row>
    <row r="630" spans="1:31" s="20" customFormat="1" ht="51" hidden="1" x14ac:dyDescent="0.2">
      <c r="A630" s="335">
        <f>A624+1</f>
        <v>513</v>
      </c>
      <c r="B630" s="257" t="s">
        <v>456</v>
      </c>
      <c r="C630" s="365" t="s">
        <v>457</v>
      </c>
      <c r="D630" s="318" t="s">
        <v>519</v>
      </c>
      <c r="E630" s="354">
        <v>100</v>
      </c>
      <c r="F630" s="355">
        <v>1</v>
      </c>
      <c r="G630" s="254">
        <f>ROUND(E630*F630,2)</f>
        <v>100</v>
      </c>
      <c r="H630" s="298"/>
      <c r="I630" s="299">
        <v>8.66</v>
      </c>
      <c r="J630" s="300">
        <v>1.9442999999999999</v>
      </c>
      <c r="K630" s="299">
        <f>ROUND(I630*J630,2)</f>
        <v>16.84</v>
      </c>
      <c r="L630" s="301">
        <f>ROUND(K630*G630,2)</f>
        <v>1684</v>
      </c>
      <c r="M630" s="154">
        <f>ROUND(L630*0.2,2)</f>
        <v>336.8</v>
      </c>
      <c r="N630" s="73">
        <f>ROUND(L630+M630,2)</f>
        <v>2020.8</v>
      </c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23" t="s">
        <v>538</v>
      </c>
      <c r="Z630" s="97"/>
      <c r="AA630" s="18"/>
      <c r="AB630" s="22" t="s">
        <v>318</v>
      </c>
      <c r="AC630" s="22" t="s">
        <v>319</v>
      </c>
      <c r="AD630" s="22" t="s">
        <v>320</v>
      </c>
      <c r="AE630" s="54">
        <v>17545818.239999998</v>
      </c>
    </row>
    <row r="631" spans="1:31" s="20" customFormat="1" ht="51" hidden="1" x14ac:dyDescent="0.2">
      <c r="A631" s="335">
        <f>A630+1</f>
        <v>514</v>
      </c>
      <c r="B631" s="257" t="s">
        <v>458</v>
      </c>
      <c r="C631" s="365" t="s">
        <v>459</v>
      </c>
      <c r="D631" s="318" t="s">
        <v>513</v>
      </c>
      <c r="E631" s="354">
        <v>1</v>
      </c>
      <c r="F631" s="355">
        <v>1</v>
      </c>
      <c r="G631" s="254">
        <f>ROUND(E631*F631,2)</f>
        <v>1</v>
      </c>
      <c r="H631" s="298"/>
      <c r="I631" s="299">
        <v>55423.41</v>
      </c>
      <c r="J631" s="300">
        <v>1.9442999999999999</v>
      </c>
      <c r="K631" s="299">
        <f>ROUND(I631*J631,2)</f>
        <v>107759.74</v>
      </c>
      <c r="L631" s="301">
        <f>ROUND(K631*G631,2)</f>
        <v>107759.74</v>
      </c>
      <c r="M631" s="154">
        <f>ROUND(L631*0.2,2)</f>
        <v>21551.95</v>
      </c>
      <c r="N631" s="73">
        <f>ROUND(L631+M631,2)</f>
        <v>129311.69</v>
      </c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150">
        <f>4819731.9+Y634</f>
        <v>4838907.4400000004</v>
      </c>
      <c r="Z631" s="98"/>
      <c r="AA631" s="18"/>
      <c r="AB631" s="19" t="e">
        <f>#REF!+#REF!+#REF!+N633+N634+N635+#REF!+N637+N638+N639+N640+N643+N644+N645+N646+N647+#REF!+N648+N651+N652+N654+N655+N656+N657+N658+N659+N660+#REF!+N667+#REF!+#REF!+#REF!+#REF!</f>
        <v>#REF!</v>
      </c>
      <c r="AC631" s="19" t="e">
        <f>#REF!+#REF!+#REF!+#REF!+#REF!+#REF!+#REF!+#REF!+#REF!+#REF!+#REF!+#REF!+#REF!+#REF!+#REF!</f>
        <v>#REF!</v>
      </c>
      <c r="AD631" s="22"/>
    </row>
    <row r="632" spans="1:31" s="20" customFormat="1" ht="51" hidden="1" x14ac:dyDescent="0.2">
      <c r="A632" s="335">
        <f>A631+1</f>
        <v>515</v>
      </c>
      <c r="B632" s="257" t="s">
        <v>460</v>
      </c>
      <c r="C632" s="365" t="s">
        <v>461</v>
      </c>
      <c r="D632" s="318" t="s">
        <v>513</v>
      </c>
      <c r="E632" s="354">
        <v>1</v>
      </c>
      <c r="F632" s="355">
        <v>1</v>
      </c>
      <c r="G632" s="254">
        <f>ROUND(E632*F632,2)</f>
        <v>1</v>
      </c>
      <c r="H632" s="298"/>
      <c r="I632" s="299">
        <v>1959.47</v>
      </c>
      <c r="J632" s="300">
        <v>1.9442999999999999</v>
      </c>
      <c r="K632" s="299">
        <f>ROUND(I632*J632,2)</f>
        <v>3809.8</v>
      </c>
      <c r="L632" s="301">
        <f>ROUND(K632*G632,2)</f>
        <v>3809.8</v>
      </c>
      <c r="M632" s="154">
        <f>ROUND(L632*0.2,2)</f>
        <v>761.96</v>
      </c>
      <c r="N632" s="73">
        <f>ROUND(L632+M632,2)</f>
        <v>4571.76</v>
      </c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110" t="s">
        <v>409</v>
      </c>
      <c r="Z632" s="98"/>
      <c r="AA632" s="18"/>
      <c r="AB632" s="19"/>
      <c r="AC632" s="19"/>
      <c r="AD632" s="22"/>
    </row>
    <row r="633" spans="1:31" s="20" customFormat="1" ht="76.5" hidden="1" x14ac:dyDescent="0.2">
      <c r="A633" s="335">
        <f t="shared" ref="A633:A641" si="208">A632+1</f>
        <v>516</v>
      </c>
      <c r="B633" s="257" t="s">
        <v>272</v>
      </c>
      <c r="C633" s="302" t="s">
        <v>76</v>
      </c>
      <c r="D633" s="254" t="s">
        <v>425</v>
      </c>
      <c r="E633" s="254">
        <v>56.516800000000003</v>
      </c>
      <c r="F633" s="254">
        <v>1</v>
      </c>
      <c r="G633" s="345">
        <f t="shared" ref="G633:G641" si="209">ROUND(E633*F633,2)</f>
        <v>56.52</v>
      </c>
      <c r="H633" s="254"/>
      <c r="I633" s="299">
        <v>343.08</v>
      </c>
      <c r="J633" s="300">
        <v>1.9442999999999999</v>
      </c>
      <c r="K633" s="299">
        <f>ROUND(I633*J633,2)</f>
        <v>667.05</v>
      </c>
      <c r="L633" s="301">
        <f>ROUND(K633*G633,2)</f>
        <v>37701.67</v>
      </c>
      <c r="M633" s="154">
        <f t="shared" ref="M633:M640" si="210">ROUND(L633*0.2,2)</f>
        <v>7540.33</v>
      </c>
      <c r="N633" s="73">
        <f t="shared" ref="N633:N701" si="211">ROUND(L633+M633,2)</f>
        <v>45242</v>
      </c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161">
        <v>10814513.890000001</v>
      </c>
      <c r="Z633" s="98"/>
      <c r="AA633" s="18"/>
      <c r="AB633" s="19"/>
      <c r="AC633" s="19"/>
      <c r="AD633" s="22"/>
    </row>
    <row r="634" spans="1:31" s="20" customFormat="1" ht="55.5" hidden="1" customHeight="1" x14ac:dyDescent="0.2">
      <c r="A634" s="335">
        <f t="shared" si="208"/>
        <v>517</v>
      </c>
      <c r="B634" s="257" t="s">
        <v>150</v>
      </c>
      <c r="C634" s="302" t="s">
        <v>273</v>
      </c>
      <c r="D634" s="254" t="s">
        <v>425</v>
      </c>
      <c r="E634" s="254">
        <v>62.6</v>
      </c>
      <c r="F634" s="254">
        <v>2</v>
      </c>
      <c r="G634" s="345">
        <f t="shared" si="209"/>
        <v>125.2</v>
      </c>
      <c r="H634" s="254"/>
      <c r="I634" s="299">
        <v>188.57</v>
      </c>
      <c r="J634" s="300">
        <v>1.9442999999999999</v>
      </c>
      <c r="K634" s="299">
        <f t="shared" ref="K634:K667" si="212">ROUND(I634*J634,2)</f>
        <v>366.64</v>
      </c>
      <c r="L634" s="301">
        <f t="shared" ref="L634:L654" si="213">ROUND(K634*G634,2)</f>
        <v>45903.33</v>
      </c>
      <c r="M634" s="154">
        <f t="shared" si="210"/>
        <v>9180.67</v>
      </c>
      <c r="N634" s="73">
        <f t="shared" si="211"/>
        <v>55084</v>
      </c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134">
        <v>19175.539999999997</v>
      </c>
      <c r="Z634" s="98"/>
      <c r="AA634" s="18"/>
      <c r="AB634" s="19"/>
      <c r="AC634" s="19"/>
      <c r="AD634" s="22"/>
    </row>
    <row r="635" spans="1:31" s="20" customFormat="1" ht="74.25" hidden="1" customHeight="1" x14ac:dyDescent="0.2">
      <c r="A635" s="335">
        <f t="shared" si="208"/>
        <v>518</v>
      </c>
      <c r="B635" s="257" t="s">
        <v>150</v>
      </c>
      <c r="C635" s="302" t="s">
        <v>78</v>
      </c>
      <c r="D635" s="254" t="s">
        <v>425</v>
      </c>
      <c r="E635" s="254">
        <v>368.358</v>
      </c>
      <c r="F635" s="254">
        <v>2</v>
      </c>
      <c r="G635" s="345">
        <f t="shared" si="209"/>
        <v>736.72</v>
      </c>
      <c r="H635" s="254"/>
      <c r="I635" s="299">
        <v>188.57</v>
      </c>
      <c r="J635" s="300">
        <v>1.9442999999999999</v>
      </c>
      <c r="K635" s="299">
        <f t="shared" si="212"/>
        <v>366.64</v>
      </c>
      <c r="L635" s="301">
        <f t="shared" si="213"/>
        <v>270111.02</v>
      </c>
      <c r="M635" s="154">
        <f t="shared" si="210"/>
        <v>54022.2</v>
      </c>
      <c r="N635" s="73">
        <f t="shared" si="211"/>
        <v>324133.21999999997</v>
      </c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64"/>
      <c r="Z635" s="77">
        <v>62149.78</v>
      </c>
      <c r="AA635" s="79">
        <v>62089.64</v>
      </c>
      <c r="AB635" s="22"/>
      <c r="AC635" s="22"/>
      <c r="AD635" s="22"/>
    </row>
    <row r="636" spans="1:31" s="20" customFormat="1" ht="102" hidden="1" customHeight="1" x14ac:dyDescent="0.2">
      <c r="A636" s="335">
        <f t="shared" si="208"/>
        <v>519</v>
      </c>
      <c r="B636" s="366" t="s">
        <v>150</v>
      </c>
      <c r="C636" s="302" t="s">
        <v>79</v>
      </c>
      <c r="D636" s="254" t="s">
        <v>354</v>
      </c>
      <c r="E636" s="254">
        <v>134.21</v>
      </c>
      <c r="F636" s="254">
        <v>1</v>
      </c>
      <c r="G636" s="345">
        <f t="shared" si="209"/>
        <v>134.21</v>
      </c>
      <c r="H636" s="254"/>
      <c r="I636" s="299">
        <v>188.57</v>
      </c>
      <c r="J636" s="300">
        <v>1.9442999999999999</v>
      </c>
      <c r="K636" s="299">
        <f>ROUND(I636*J636,2)</f>
        <v>366.64</v>
      </c>
      <c r="L636" s="301">
        <f>ROUND(K636*G636,2)</f>
        <v>49206.75</v>
      </c>
      <c r="M636" s="154">
        <f>ROUND(L636*0.2,2)</f>
        <v>9841.35</v>
      </c>
      <c r="N636" s="73">
        <f>ROUND(L636+M636,2)</f>
        <v>59048.1</v>
      </c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64"/>
      <c r="Z636" s="77">
        <v>37836.44</v>
      </c>
      <c r="AA636" s="18">
        <v>56700.58</v>
      </c>
      <c r="AB636" s="22"/>
      <c r="AC636" s="22"/>
      <c r="AD636" s="22"/>
    </row>
    <row r="637" spans="1:31" s="20" customFormat="1" ht="76.5" hidden="1" x14ac:dyDescent="0.2">
      <c r="A637" s="335">
        <f t="shared" si="208"/>
        <v>520</v>
      </c>
      <c r="B637" s="257" t="s">
        <v>151</v>
      </c>
      <c r="C637" s="257" t="s">
        <v>64</v>
      </c>
      <c r="D637" s="254" t="s">
        <v>411</v>
      </c>
      <c r="E637" s="254">
        <v>20.32</v>
      </c>
      <c r="F637" s="254">
        <v>2</v>
      </c>
      <c r="G637" s="254">
        <f t="shared" si="209"/>
        <v>40.64</v>
      </c>
      <c r="H637" s="254"/>
      <c r="I637" s="299">
        <v>44.32</v>
      </c>
      <c r="J637" s="300">
        <v>1.9442999999999999</v>
      </c>
      <c r="K637" s="299">
        <f t="shared" si="212"/>
        <v>86.17</v>
      </c>
      <c r="L637" s="301">
        <f t="shared" si="213"/>
        <v>3501.95</v>
      </c>
      <c r="M637" s="154">
        <f t="shared" si="210"/>
        <v>700.39</v>
      </c>
      <c r="N637" s="73">
        <f t="shared" si="211"/>
        <v>4202.34</v>
      </c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64"/>
      <c r="Z637" s="77">
        <v>111321.34</v>
      </c>
      <c r="AA637" s="18">
        <v>222430.5</v>
      </c>
      <c r="AB637" s="22"/>
      <c r="AC637" s="22"/>
      <c r="AD637" s="22"/>
    </row>
    <row r="638" spans="1:31" s="20" customFormat="1" ht="76.5" hidden="1" x14ac:dyDescent="0.2">
      <c r="A638" s="335">
        <f t="shared" si="208"/>
        <v>521</v>
      </c>
      <c r="B638" s="257" t="s">
        <v>152</v>
      </c>
      <c r="C638" s="302" t="s">
        <v>80</v>
      </c>
      <c r="D638" s="254" t="s">
        <v>411</v>
      </c>
      <c r="E638" s="254">
        <v>8.64</v>
      </c>
      <c r="F638" s="254">
        <v>2</v>
      </c>
      <c r="G638" s="345">
        <f t="shared" si="209"/>
        <v>17.28</v>
      </c>
      <c r="H638" s="254"/>
      <c r="I638" s="299">
        <v>66.5</v>
      </c>
      <c r="J638" s="300">
        <v>1.9442999999999999</v>
      </c>
      <c r="K638" s="299">
        <f t="shared" si="212"/>
        <v>129.30000000000001</v>
      </c>
      <c r="L638" s="301">
        <f t="shared" si="213"/>
        <v>2234.3000000000002</v>
      </c>
      <c r="M638" s="154">
        <f t="shared" si="210"/>
        <v>446.86</v>
      </c>
      <c r="N638" s="73">
        <f t="shared" si="211"/>
        <v>2681.16</v>
      </c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64"/>
      <c r="Z638" s="77"/>
      <c r="AA638" s="18"/>
      <c r="AB638" s="22"/>
      <c r="AC638" s="22"/>
      <c r="AD638" s="22"/>
    </row>
    <row r="639" spans="1:31" s="20" customFormat="1" ht="76.5" hidden="1" x14ac:dyDescent="0.2">
      <c r="A639" s="335">
        <f t="shared" si="208"/>
        <v>522</v>
      </c>
      <c r="B639" s="257" t="s">
        <v>153</v>
      </c>
      <c r="C639" s="302" t="s">
        <v>105</v>
      </c>
      <c r="D639" s="254" t="s">
        <v>422</v>
      </c>
      <c r="E639" s="254">
        <v>3</v>
      </c>
      <c r="F639" s="254">
        <v>3</v>
      </c>
      <c r="G639" s="345">
        <f t="shared" si="209"/>
        <v>9</v>
      </c>
      <c r="H639" s="254"/>
      <c r="I639" s="299">
        <v>218.45</v>
      </c>
      <c r="J639" s="300">
        <v>1.9442999999999999</v>
      </c>
      <c r="K639" s="299">
        <f t="shared" si="212"/>
        <v>424.73</v>
      </c>
      <c r="L639" s="301">
        <f t="shared" si="213"/>
        <v>3822.57</v>
      </c>
      <c r="M639" s="154">
        <f t="shared" si="210"/>
        <v>764.51</v>
      </c>
      <c r="N639" s="73">
        <f t="shared" si="211"/>
        <v>4587.08</v>
      </c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64"/>
      <c r="Z639" s="77">
        <v>2463.25</v>
      </c>
      <c r="AA639" s="18">
        <v>1230.45</v>
      </c>
      <c r="AB639" s="22"/>
      <c r="AC639" s="22"/>
      <c r="AD639" s="22"/>
    </row>
    <row r="640" spans="1:31" s="20" customFormat="1" ht="76.5" hidden="1" x14ac:dyDescent="0.2">
      <c r="A640" s="335">
        <f t="shared" si="208"/>
        <v>523</v>
      </c>
      <c r="B640" s="257" t="s">
        <v>154</v>
      </c>
      <c r="C640" s="302" t="s">
        <v>106</v>
      </c>
      <c r="D640" s="254" t="s">
        <v>354</v>
      </c>
      <c r="E640" s="254">
        <v>193.93199999999999</v>
      </c>
      <c r="F640" s="254">
        <v>2</v>
      </c>
      <c r="G640" s="345">
        <f t="shared" si="209"/>
        <v>387.86</v>
      </c>
      <c r="H640" s="254"/>
      <c r="I640" s="299">
        <v>241.57</v>
      </c>
      <c r="J640" s="300">
        <v>1.9442999999999999</v>
      </c>
      <c r="K640" s="299">
        <f t="shared" si="212"/>
        <v>469.68</v>
      </c>
      <c r="L640" s="301">
        <f t="shared" si="213"/>
        <v>182170.08</v>
      </c>
      <c r="M640" s="154">
        <f t="shared" si="210"/>
        <v>36434.019999999997</v>
      </c>
      <c r="N640" s="73">
        <f t="shared" si="211"/>
        <v>218604.1</v>
      </c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64"/>
      <c r="Z640" s="77">
        <v>3683.12</v>
      </c>
      <c r="AA640" s="18">
        <v>1839.63</v>
      </c>
      <c r="AB640" s="22"/>
      <c r="AC640" s="22"/>
      <c r="AD640" s="22"/>
    </row>
    <row r="641" spans="1:30" s="20" customFormat="1" ht="46.5" hidden="1" customHeight="1" x14ac:dyDescent="0.2">
      <c r="A641" s="335">
        <f t="shared" si="208"/>
        <v>524</v>
      </c>
      <c r="B641" s="342" t="s">
        <v>505</v>
      </c>
      <c r="C641" s="367" t="s">
        <v>504</v>
      </c>
      <c r="D641" s="254" t="s">
        <v>355</v>
      </c>
      <c r="E641" s="254">
        <v>3</v>
      </c>
      <c r="F641" s="254">
        <v>2</v>
      </c>
      <c r="G641" s="254">
        <f t="shared" si="209"/>
        <v>6</v>
      </c>
      <c r="H641" s="299"/>
      <c r="I641" s="306"/>
      <c r="J641" s="300"/>
      <c r="K641" s="299">
        <v>4405.2299999999996</v>
      </c>
      <c r="L641" s="301">
        <f>ROUND(K641*G641,2)</f>
        <v>26431.38</v>
      </c>
      <c r="M641" s="154">
        <f>ROUND(L641*0.2,2)</f>
        <v>5286.28</v>
      </c>
      <c r="N641" s="73">
        <f>ROUND(M641+L641,2)</f>
        <v>31717.66</v>
      </c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64"/>
      <c r="Z641" s="77">
        <v>3151.01</v>
      </c>
      <c r="AA641" s="18">
        <v>3147.93</v>
      </c>
      <c r="AB641" s="22"/>
      <c r="AC641" s="22"/>
      <c r="AD641" s="22"/>
    </row>
    <row r="642" spans="1:30" s="20" customFormat="1" ht="12.75" hidden="1" x14ac:dyDescent="0.2">
      <c r="A642" s="335"/>
      <c r="B642" s="257"/>
      <c r="C642" s="246" t="s">
        <v>81</v>
      </c>
      <c r="D642" s="254"/>
      <c r="E642" s="254"/>
      <c r="F642" s="254"/>
      <c r="G642" s="345"/>
      <c r="H642" s="254"/>
      <c r="I642" s="299"/>
      <c r="J642" s="300"/>
      <c r="K642" s="299"/>
      <c r="L642" s="301"/>
      <c r="M642" s="154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64"/>
      <c r="Z642" s="77">
        <v>150162.32</v>
      </c>
      <c r="AA642" s="18">
        <v>225028.6</v>
      </c>
      <c r="AB642" s="22"/>
      <c r="AC642" s="22"/>
      <c r="AD642" s="22"/>
    </row>
    <row r="643" spans="1:30" s="20" customFormat="1" ht="38.25" hidden="1" customHeight="1" x14ac:dyDescent="0.2">
      <c r="A643" s="335">
        <f>A641+1</f>
        <v>525</v>
      </c>
      <c r="B643" s="257" t="s">
        <v>155</v>
      </c>
      <c r="C643" s="367" t="s">
        <v>107</v>
      </c>
      <c r="D643" s="254" t="s">
        <v>411</v>
      </c>
      <c r="E643" s="254">
        <f>11.38*0.3</f>
        <v>3.4140000000000001</v>
      </c>
      <c r="F643" s="254">
        <v>1</v>
      </c>
      <c r="G643" s="345">
        <f t="shared" ref="G643:G649" si="214">ROUND(E643*F643,2)</f>
        <v>3.41</v>
      </c>
      <c r="H643" s="254"/>
      <c r="I643" s="299">
        <v>64649.39</v>
      </c>
      <c r="J643" s="300">
        <v>1.9442999999999999</v>
      </c>
      <c r="K643" s="299">
        <f t="shared" si="212"/>
        <v>125697.81</v>
      </c>
      <c r="L643" s="301">
        <f t="shared" si="213"/>
        <v>428629.53</v>
      </c>
      <c r="M643" s="154">
        <f t="shared" ref="M643:M649" si="215">ROUND(L643*0.2,2)</f>
        <v>85725.91</v>
      </c>
      <c r="N643" s="73">
        <f t="shared" si="211"/>
        <v>514355.44</v>
      </c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64"/>
      <c r="Z643" s="77"/>
      <c r="AA643" s="18"/>
      <c r="AB643" s="22"/>
      <c r="AC643" s="22"/>
      <c r="AD643" s="22"/>
    </row>
    <row r="644" spans="1:30" s="20" customFormat="1" ht="64.5" hidden="1" customHeight="1" x14ac:dyDescent="0.2">
      <c r="A644" s="335">
        <f t="shared" ref="A644:A649" si="216">A643+1</f>
        <v>526</v>
      </c>
      <c r="B644" s="257" t="s">
        <v>156</v>
      </c>
      <c r="C644" s="367" t="s">
        <v>108</v>
      </c>
      <c r="D644" s="254" t="s">
        <v>411</v>
      </c>
      <c r="E644" s="254">
        <f>7.58*0.2</f>
        <v>1.516</v>
      </c>
      <c r="F644" s="254">
        <v>1</v>
      </c>
      <c r="G644" s="345">
        <f t="shared" si="214"/>
        <v>1.52</v>
      </c>
      <c r="H644" s="254"/>
      <c r="I644" s="299">
        <v>77125.899999999994</v>
      </c>
      <c r="J644" s="300">
        <v>1.9442999999999999</v>
      </c>
      <c r="K644" s="299">
        <f t="shared" si="212"/>
        <v>149955.89000000001</v>
      </c>
      <c r="L644" s="301">
        <f t="shared" si="213"/>
        <v>227932.95</v>
      </c>
      <c r="M644" s="154">
        <f t="shared" si="215"/>
        <v>45586.59</v>
      </c>
      <c r="N644" s="73">
        <f t="shared" si="211"/>
        <v>273519.53999999998</v>
      </c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64"/>
      <c r="Z644" s="77"/>
      <c r="AA644" s="18"/>
      <c r="AB644" s="22"/>
      <c r="AC644" s="22"/>
      <c r="AD644" s="22"/>
    </row>
    <row r="645" spans="1:30" s="20" customFormat="1" ht="89.25" hidden="1" x14ac:dyDescent="0.2">
      <c r="A645" s="335">
        <f t="shared" si="216"/>
        <v>527</v>
      </c>
      <c r="B645" s="257" t="s">
        <v>158</v>
      </c>
      <c r="C645" s="367" t="s">
        <v>82</v>
      </c>
      <c r="D645" s="254" t="s">
        <v>438</v>
      </c>
      <c r="E645" s="254">
        <f>2255*0.2</f>
        <v>451</v>
      </c>
      <c r="F645" s="254">
        <v>1</v>
      </c>
      <c r="G645" s="345">
        <f t="shared" si="214"/>
        <v>451</v>
      </c>
      <c r="H645" s="254"/>
      <c r="I645" s="299">
        <v>35.799999999999997</v>
      </c>
      <c r="J645" s="300">
        <v>1.9442999999999999</v>
      </c>
      <c r="K645" s="299">
        <f t="shared" si="212"/>
        <v>69.61</v>
      </c>
      <c r="L645" s="301">
        <f t="shared" si="213"/>
        <v>31394.11</v>
      </c>
      <c r="M645" s="154">
        <f t="shared" si="215"/>
        <v>6278.82</v>
      </c>
      <c r="N645" s="73">
        <f t="shared" si="211"/>
        <v>37672.93</v>
      </c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64"/>
      <c r="Z645" s="77">
        <v>589559.63</v>
      </c>
      <c r="AA645" s="18">
        <v>1177967.7</v>
      </c>
      <c r="AB645" s="22">
        <f>AC645*0.0005/100</f>
        <v>7.5859615000000007</v>
      </c>
      <c r="AC645" s="22">
        <v>1517192.3</v>
      </c>
      <c r="AD645" s="22"/>
    </row>
    <row r="646" spans="1:30" s="20" customFormat="1" ht="114.75" hidden="1" x14ac:dyDescent="0.2">
      <c r="A646" s="335">
        <f t="shared" si="216"/>
        <v>528</v>
      </c>
      <c r="B646" s="257" t="s">
        <v>274</v>
      </c>
      <c r="C646" s="368" t="s">
        <v>103</v>
      </c>
      <c r="D646" s="254" t="s">
        <v>437</v>
      </c>
      <c r="E646" s="254">
        <f>250*0.5</f>
        <v>125</v>
      </c>
      <c r="F646" s="254">
        <v>1</v>
      </c>
      <c r="G646" s="345">
        <f t="shared" si="214"/>
        <v>125</v>
      </c>
      <c r="H646" s="254"/>
      <c r="I646" s="299">
        <v>315.70999999999998</v>
      </c>
      <c r="J646" s="300">
        <v>1.9442999999999999</v>
      </c>
      <c r="K646" s="299">
        <f t="shared" si="212"/>
        <v>613.83000000000004</v>
      </c>
      <c r="L646" s="301">
        <f t="shared" si="213"/>
        <v>76728.75</v>
      </c>
      <c r="M646" s="154">
        <f t="shared" si="215"/>
        <v>15345.75</v>
      </c>
      <c r="N646" s="73">
        <f t="shared" si="211"/>
        <v>92074.5</v>
      </c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64"/>
      <c r="Z646" s="77">
        <v>468479.42000000004</v>
      </c>
      <c r="AA646" s="18">
        <v>936043.82</v>
      </c>
      <c r="AB646" s="22">
        <f>AB645/2</f>
        <v>3.7929807500000003</v>
      </c>
      <c r="AC646" s="22"/>
      <c r="AD646" s="22"/>
    </row>
    <row r="647" spans="1:30" s="20" customFormat="1" ht="89.25" hidden="1" x14ac:dyDescent="0.2">
      <c r="A647" s="335">
        <f t="shared" si="216"/>
        <v>529</v>
      </c>
      <c r="B647" s="257" t="s">
        <v>275</v>
      </c>
      <c r="C647" s="365" t="s">
        <v>110</v>
      </c>
      <c r="D647" s="254" t="s">
        <v>432</v>
      </c>
      <c r="E647" s="254">
        <v>330.5</v>
      </c>
      <c r="F647" s="254">
        <v>3</v>
      </c>
      <c r="G647" s="345">
        <f t="shared" si="214"/>
        <v>991.5</v>
      </c>
      <c r="H647" s="254"/>
      <c r="I647" s="299">
        <v>283.41000000000003</v>
      </c>
      <c r="J647" s="300">
        <v>1.9442999999999999</v>
      </c>
      <c r="K647" s="299">
        <f t="shared" si="212"/>
        <v>551.03</v>
      </c>
      <c r="L647" s="301">
        <f t="shared" si="213"/>
        <v>546346.25</v>
      </c>
      <c r="M647" s="154">
        <f t="shared" si="215"/>
        <v>109269.25</v>
      </c>
      <c r="N647" s="73">
        <f t="shared" si="211"/>
        <v>655615.5</v>
      </c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64"/>
      <c r="Z647" s="77">
        <v>129400.92000000001</v>
      </c>
      <c r="AA647" s="18">
        <v>129272.39</v>
      </c>
      <c r="AB647" s="22"/>
      <c r="AC647" s="22"/>
      <c r="AD647" s="22"/>
    </row>
    <row r="648" spans="1:30" s="20" customFormat="1" ht="54" hidden="1" customHeight="1" x14ac:dyDescent="0.2">
      <c r="A648" s="335">
        <f t="shared" si="216"/>
        <v>530</v>
      </c>
      <c r="B648" s="257" t="s">
        <v>159</v>
      </c>
      <c r="C648" s="365" t="s">
        <v>109</v>
      </c>
      <c r="D648" s="254" t="s">
        <v>432</v>
      </c>
      <c r="E648" s="254">
        <f>19.04*0.5</f>
        <v>9.52</v>
      </c>
      <c r="F648" s="254">
        <v>1</v>
      </c>
      <c r="G648" s="359">
        <f t="shared" si="214"/>
        <v>9.52</v>
      </c>
      <c r="H648" s="254"/>
      <c r="I648" s="299">
        <v>11575.11</v>
      </c>
      <c r="J648" s="300">
        <v>1.9442999999999999</v>
      </c>
      <c r="K648" s="299">
        <f t="shared" si="212"/>
        <v>22505.49</v>
      </c>
      <c r="L648" s="301">
        <f t="shared" si="213"/>
        <v>214252.26</v>
      </c>
      <c r="M648" s="154">
        <f t="shared" si="215"/>
        <v>42850.45</v>
      </c>
      <c r="N648" s="73">
        <f t="shared" si="211"/>
        <v>257102.71</v>
      </c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64"/>
      <c r="Z648" s="77">
        <v>63249</v>
      </c>
      <c r="AA648" s="18">
        <v>126372.5</v>
      </c>
      <c r="AB648" s="22"/>
      <c r="AC648" s="22"/>
      <c r="AD648" s="22"/>
    </row>
    <row r="649" spans="1:30" s="20" customFormat="1" ht="51" hidden="1" x14ac:dyDescent="0.2">
      <c r="A649" s="335">
        <f t="shared" si="216"/>
        <v>531</v>
      </c>
      <c r="B649" s="366" t="s">
        <v>463</v>
      </c>
      <c r="C649" s="344" t="s">
        <v>464</v>
      </c>
      <c r="D649" s="299" t="s">
        <v>118</v>
      </c>
      <c r="E649" s="254">
        <v>1</v>
      </c>
      <c r="F649" s="254">
        <v>1</v>
      </c>
      <c r="G649" s="254">
        <f t="shared" si="214"/>
        <v>1</v>
      </c>
      <c r="H649" s="299"/>
      <c r="I649" s="299">
        <v>38457.4</v>
      </c>
      <c r="J649" s="300">
        <v>1.9442999999999999</v>
      </c>
      <c r="K649" s="299">
        <f t="shared" si="212"/>
        <v>74772.72</v>
      </c>
      <c r="L649" s="301">
        <f>ROUND(K649*G649,2)</f>
        <v>74772.72</v>
      </c>
      <c r="M649" s="154">
        <f t="shared" si="215"/>
        <v>14954.54</v>
      </c>
      <c r="N649" s="73">
        <f t="shared" si="211"/>
        <v>89727.26</v>
      </c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64"/>
      <c r="Z649" s="77">
        <v>1097334.24</v>
      </c>
      <c r="AA649" s="18">
        <v>730837.87</v>
      </c>
      <c r="AB649" s="22"/>
      <c r="AC649" s="22"/>
      <c r="AD649" s="22"/>
    </row>
    <row r="650" spans="1:30" s="20" customFormat="1" ht="25.5" hidden="1" x14ac:dyDescent="0.2">
      <c r="A650" s="335"/>
      <c r="B650" s="257"/>
      <c r="C650" s="246" t="s">
        <v>83</v>
      </c>
      <c r="D650" s="254"/>
      <c r="E650" s="254"/>
      <c r="F650" s="254"/>
      <c r="G650" s="345"/>
      <c r="H650" s="254"/>
      <c r="I650" s="299"/>
      <c r="J650" s="300"/>
      <c r="K650" s="299"/>
      <c r="L650" s="301"/>
      <c r="M650" s="154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64"/>
      <c r="Z650" s="77">
        <v>706436.86</v>
      </c>
      <c r="AA650" s="18">
        <v>352873.46</v>
      </c>
      <c r="AB650" s="22"/>
      <c r="AC650" s="22"/>
      <c r="AD650" s="22"/>
    </row>
    <row r="651" spans="1:30" s="20" customFormat="1" ht="76.5" hidden="1" x14ac:dyDescent="0.2">
      <c r="A651" s="335">
        <f>A649+1</f>
        <v>532</v>
      </c>
      <c r="B651" s="257" t="s">
        <v>161</v>
      </c>
      <c r="C651" s="365" t="s">
        <v>84</v>
      </c>
      <c r="D651" s="254" t="s">
        <v>433</v>
      </c>
      <c r="E651" s="254">
        <f>864*0.2</f>
        <v>172.8</v>
      </c>
      <c r="F651" s="254">
        <v>1</v>
      </c>
      <c r="G651" s="345">
        <f>ROUND(E651*F651,2)</f>
        <v>172.8</v>
      </c>
      <c r="H651" s="254">
        <v>67.126999999999995</v>
      </c>
      <c r="I651" s="299">
        <v>77.2</v>
      </c>
      <c r="J651" s="300">
        <v>1.9442999999999999</v>
      </c>
      <c r="K651" s="299">
        <f t="shared" si="212"/>
        <v>150.1</v>
      </c>
      <c r="L651" s="301">
        <f t="shared" si="213"/>
        <v>25937.279999999999</v>
      </c>
      <c r="M651" s="154">
        <f>ROUND(L651*0.2,2)</f>
        <v>5187.46</v>
      </c>
      <c r="N651" s="73">
        <f t="shared" si="211"/>
        <v>31124.74</v>
      </c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64"/>
      <c r="Z651" s="77"/>
      <c r="AA651" s="18"/>
      <c r="AB651" s="22"/>
      <c r="AC651" s="22"/>
      <c r="AD651" s="22"/>
    </row>
    <row r="652" spans="1:30" s="20" customFormat="1" ht="76.5" hidden="1" x14ac:dyDescent="0.2">
      <c r="A652" s="335">
        <f>A651+1</f>
        <v>533</v>
      </c>
      <c r="B652" s="257" t="s">
        <v>276</v>
      </c>
      <c r="C652" s="365" t="s">
        <v>85</v>
      </c>
      <c r="D652" s="254" t="s">
        <v>437</v>
      </c>
      <c r="E652" s="254">
        <f>48.5*0.2</f>
        <v>9.7000000000000011</v>
      </c>
      <c r="F652" s="254">
        <v>1</v>
      </c>
      <c r="G652" s="345">
        <f>ROUND(E652*F652,2)</f>
        <v>9.6999999999999993</v>
      </c>
      <c r="H652" s="254">
        <v>1345.92</v>
      </c>
      <c r="I652" s="299">
        <v>1547.81</v>
      </c>
      <c r="J652" s="300">
        <v>1.9442999999999999</v>
      </c>
      <c r="K652" s="299">
        <f t="shared" si="212"/>
        <v>3009.41</v>
      </c>
      <c r="L652" s="301">
        <f t="shared" si="213"/>
        <v>29191.279999999999</v>
      </c>
      <c r="M652" s="154">
        <f>ROUND(L652*0.2,2)</f>
        <v>5838.26</v>
      </c>
      <c r="N652" s="73">
        <f t="shared" si="211"/>
        <v>35029.54</v>
      </c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64"/>
      <c r="Z652" s="77"/>
      <c r="AA652" s="18"/>
      <c r="AB652" s="22"/>
      <c r="AC652" s="22"/>
      <c r="AD652" s="22"/>
    </row>
    <row r="653" spans="1:30" s="20" customFormat="1" ht="30" hidden="1" customHeight="1" x14ac:dyDescent="0.2">
      <c r="A653" s="335"/>
      <c r="B653" s="257"/>
      <c r="C653" s="224" t="s">
        <v>86</v>
      </c>
      <c r="D653" s="224"/>
      <c r="E653" s="224"/>
      <c r="F653" s="254"/>
      <c r="G653" s="345"/>
      <c r="H653" s="254"/>
      <c r="I653" s="299"/>
      <c r="J653" s="300"/>
      <c r="K653" s="299"/>
      <c r="L653" s="301"/>
      <c r="M653" s="154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64"/>
      <c r="Z653" s="77">
        <v>106894.07999999999</v>
      </c>
      <c r="AA653" s="18">
        <v>106791.26</v>
      </c>
      <c r="AB653" s="22"/>
      <c r="AC653" s="22"/>
      <c r="AD653" s="22"/>
    </row>
    <row r="654" spans="1:30" s="20" customFormat="1" ht="76.5" hidden="1" x14ac:dyDescent="0.2">
      <c r="A654" s="335">
        <f>A652+1</f>
        <v>534</v>
      </c>
      <c r="B654" s="257" t="s">
        <v>163</v>
      </c>
      <c r="C654" s="367" t="s">
        <v>87</v>
      </c>
      <c r="D654" s="254" t="s">
        <v>422</v>
      </c>
      <c r="E654" s="254">
        <f>260-200</f>
        <v>60</v>
      </c>
      <c r="F654" s="254">
        <v>1</v>
      </c>
      <c r="G654" s="345">
        <f t="shared" ref="G654:G665" si="217">ROUND(E654*F654,2)</f>
        <v>60</v>
      </c>
      <c r="H654" s="254"/>
      <c r="I654" s="299">
        <v>108.09</v>
      </c>
      <c r="J654" s="300">
        <v>1.9442999999999999</v>
      </c>
      <c r="K654" s="299">
        <f t="shared" si="212"/>
        <v>210.16</v>
      </c>
      <c r="L654" s="301">
        <f t="shared" si="213"/>
        <v>12609.6</v>
      </c>
      <c r="M654" s="154">
        <f t="shared" ref="M654:M665" si="218">ROUND(L654*0.2,2)</f>
        <v>2521.92</v>
      </c>
      <c r="N654" s="73">
        <f t="shared" si="211"/>
        <v>15131.52</v>
      </c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64"/>
      <c r="Z654" s="77">
        <v>120312.2</v>
      </c>
      <c r="AA654" s="18">
        <v>120194.74</v>
      </c>
      <c r="AB654" s="22"/>
      <c r="AC654" s="22"/>
      <c r="AD654" s="22"/>
    </row>
    <row r="655" spans="1:30" s="20" customFormat="1" ht="76.5" hidden="1" x14ac:dyDescent="0.2">
      <c r="A655" s="335">
        <f t="shared" ref="A655:A660" si="219">A654+1</f>
        <v>535</v>
      </c>
      <c r="B655" s="257" t="s">
        <v>164</v>
      </c>
      <c r="C655" s="367" t="s">
        <v>111</v>
      </c>
      <c r="D655" s="254" t="s">
        <v>422</v>
      </c>
      <c r="E655" s="308">
        <f>86-56</f>
        <v>30</v>
      </c>
      <c r="F655" s="254">
        <v>1</v>
      </c>
      <c r="G655" s="345">
        <f t="shared" si="217"/>
        <v>30</v>
      </c>
      <c r="H655" s="254"/>
      <c r="I655" s="299">
        <v>3286.73</v>
      </c>
      <c r="J655" s="300">
        <v>1.9442999999999999</v>
      </c>
      <c r="K655" s="299">
        <f t="shared" si="212"/>
        <v>6390.39</v>
      </c>
      <c r="L655" s="301">
        <f t="shared" ref="L655:L665" si="220">ROUND(K655*G655,2)</f>
        <v>191711.7</v>
      </c>
      <c r="M655" s="154">
        <f t="shared" si="218"/>
        <v>38342.339999999997</v>
      </c>
      <c r="N655" s="73">
        <f t="shared" si="211"/>
        <v>230054.04</v>
      </c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64"/>
      <c r="Z655" s="77"/>
      <c r="AA655" s="18"/>
      <c r="AB655" s="22"/>
      <c r="AC655" s="22"/>
      <c r="AD655" s="22"/>
    </row>
    <row r="656" spans="1:30" s="20" customFormat="1" ht="76.5" hidden="1" x14ac:dyDescent="0.2">
      <c r="A656" s="335">
        <f t="shared" si="219"/>
        <v>536</v>
      </c>
      <c r="B656" s="257" t="s">
        <v>502</v>
      </c>
      <c r="C656" s="367" t="s">
        <v>506</v>
      </c>
      <c r="D656" s="254" t="s">
        <v>422</v>
      </c>
      <c r="E656" s="254">
        <v>10</v>
      </c>
      <c r="F656" s="254">
        <v>1</v>
      </c>
      <c r="G656" s="254">
        <f t="shared" si="217"/>
        <v>10</v>
      </c>
      <c r="H656" s="254"/>
      <c r="I656" s="299">
        <v>6596.71</v>
      </c>
      <c r="J656" s="300">
        <v>1.9442999999999999</v>
      </c>
      <c r="K656" s="299">
        <f t="shared" si="212"/>
        <v>12825.98</v>
      </c>
      <c r="L656" s="301">
        <f t="shared" si="220"/>
        <v>128259.8</v>
      </c>
      <c r="M656" s="154">
        <f t="shared" si="218"/>
        <v>25651.96</v>
      </c>
      <c r="N656" s="73">
        <f t="shared" si="211"/>
        <v>153911.76</v>
      </c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64"/>
      <c r="Z656" s="77">
        <v>45040.32</v>
      </c>
      <c r="AA656" s="18">
        <v>44996.3</v>
      </c>
      <c r="AB656" s="22"/>
      <c r="AC656" s="22"/>
      <c r="AD656" s="22"/>
    </row>
    <row r="657" spans="1:30" s="20" customFormat="1" ht="76.5" hidden="1" x14ac:dyDescent="0.2">
      <c r="A657" s="335">
        <f t="shared" si="219"/>
        <v>537</v>
      </c>
      <c r="B657" s="257" t="s">
        <v>167</v>
      </c>
      <c r="C657" s="367" t="s">
        <v>140</v>
      </c>
      <c r="D657" s="254" t="s">
        <v>422</v>
      </c>
      <c r="E657" s="254">
        <f>29-9</f>
        <v>20</v>
      </c>
      <c r="F657" s="254">
        <v>1</v>
      </c>
      <c r="G657" s="345">
        <f t="shared" si="217"/>
        <v>20</v>
      </c>
      <c r="H657" s="254"/>
      <c r="I657" s="299">
        <v>2893.7</v>
      </c>
      <c r="J657" s="300">
        <v>1.9442999999999999</v>
      </c>
      <c r="K657" s="299">
        <f t="shared" si="212"/>
        <v>5626.22</v>
      </c>
      <c r="L657" s="301">
        <f t="shared" si="220"/>
        <v>112524.4</v>
      </c>
      <c r="M657" s="154">
        <f t="shared" si="218"/>
        <v>22504.880000000001</v>
      </c>
      <c r="N657" s="73">
        <f t="shared" si="211"/>
        <v>135029.28</v>
      </c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64"/>
      <c r="Z657" s="77">
        <v>453016.01</v>
      </c>
      <c r="AA657" s="18">
        <v>505198.94</v>
      </c>
      <c r="AB657" s="22"/>
      <c r="AC657" s="22"/>
      <c r="AD657" s="22"/>
    </row>
    <row r="658" spans="1:30" s="20" customFormat="1" ht="76.5" hidden="1" x14ac:dyDescent="0.2">
      <c r="A658" s="335">
        <f t="shared" si="219"/>
        <v>538</v>
      </c>
      <c r="B658" s="257" t="s">
        <v>277</v>
      </c>
      <c r="C658" s="367" t="s">
        <v>137</v>
      </c>
      <c r="D658" s="254" t="s">
        <v>422</v>
      </c>
      <c r="E658" s="254">
        <v>100</v>
      </c>
      <c r="F658" s="254">
        <v>1</v>
      </c>
      <c r="G658" s="345">
        <f t="shared" si="217"/>
        <v>100</v>
      </c>
      <c r="H658" s="254"/>
      <c r="I658" s="299">
        <v>167.36</v>
      </c>
      <c r="J658" s="300">
        <v>1.9442999999999999</v>
      </c>
      <c r="K658" s="299">
        <f t="shared" si="212"/>
        <v>325.39999999999998</v>
      </c>
      <c r="L658" s="301">
        <f t="shared" si="220"/>
        <v>32540</v>
      </c>
      <c r="M658" s="154">
        <f t="shared" si="218"/>
        <v>6508</v>
      </c>
      <c r="N658" s="73">
        <f t="shared" si="211"/>
        <v>39048</v>
      </c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64"/>
      <c r="Z658" s="77">
        <v>211450.32</v>
      </c>
      <c r="AA658" s="18">
        <v>105621.92</v>
      </c>
      <c r="AB658" s="22"/>
      <c r="AC658" s="22"/>
      <c r="AD658" s="22"/>
    </row>
    <row r="659" spans="1:30" s="20" customFormat="1" ht="89.25" hidden="1" x14ac:dyDescent="0.2">
      <c r="A659" s="335">
        <f t="shared" si="219"/>
        <v>539</v>
      </c>
      <c r="B659" s="257" t="s">
        <v>168</v>
      </c>
      <c r="C659" s="367" t="s">
        <v>112</v>
      </c>
      <c r="D659" s="254" t="s">
        <v>422</v>
      </c>
      <c r="E659" s="254">
        <v>100</v>
      </c>
      <c r="F659" s="254">
        <v>1</v>
      </c>
      <c r="G659" s="345">
        <f t="shared" si="217"/>
        <v>100</v>
      </c>
      <c r="H659" s="254"/>
      <c r="I659" s="299">
        <v>643.77</v>
      </c>
      <c r="J659" s="300">
        <v>1.9442999999999999</v>
      </c>
      <c r="K659" s="299">
        <f t="shared" si="212"/>
        <v>1251.68</v>
      </c>
      <c r="L659" s="301">
        <f t="shared" si="220"/>
        <v>125168</v>
      </c>
      <c r="M659" s="154">
        <f t="shared" si="218"/>
        <v>25033.599999999999</v>
      </c>
      <c r="N659" s="73">
        <f t="shared" si="211"/>
        <v>150201.60000000001</v>
      </c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64"/>
      <c r="Z659" s="77">
        <v>134493.65</v>
      </c>
      <c r="AA659" s="18">
        <v>120462.8</v>
      </c>
      <c r="AB659" s="22"/>
      <c r="AC659" s="22"/>
      <c r="AD659" s="22"/>
    </row>
    <row r="660" spans="1:30" s="20" customFormat="1" ht="76.5" hidden="1" x14ac:dyDescent="0.2">
      <c r="A660" s="335">
        <f t="shared" si="219"/>
        <v>540</v>
      </c>
      <c r="B660" s="257" t="s">
        <v>169</v>
      </c>
      <c r="C660" s="367" t="s">
        <v>104</v>
      </c>
      <c r="D660" s="254" t="s">
        <v>411</v>
      </c>
      <c r="E660" s="254">
        <v>2.5499999999999998</v>
      </c>
      <c r="F660" s="254">
        <v>1</v>
      </c>
      <c r="G660" s="345">
        <f t="shared" si="217"/>
        <v>2.5499999999999998</v>
      </c>
      <c r="H660" s="254"/>
      <c r="I660" s="299">
        <v>5333.45</v>
      </c>
      <c r="J660" s="300">
        <v>1.9442999999999999</v>
      </c>
      <c r="K660" s="299">
        <f t="shared" si="212"/>
        <v>10369.83</v>
      </c>
      <c r="L660" s="301">
        <f t="shared" si="220"/>
        <v>26443.07</v>
      </c>
      <c r="M660" s="154">
        <f t="shared" si="218"/>
        <v>5288.61</v>
      </c>
      <c r="N660" s="73">
        <f t="shared" si="211"/>
        <v>31731.68</v>
      </c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64"/>
      <c r="Z660" s="77">
        <v>69741.36</v>
      </c>
      <c r="AA660" s="18">
        <v>69672.98</v>
      </c>
      <c r="AB660" s="22"/>
      <c r="AC660" s="22"/>
      <c r="AD660" s="22"/>
    </row>
    <row r="661" spans="1:30" s="20" customFormat="1" ht="51" hidden="1" x14ac:dyDescent="0.2">
      <c r="A661" s="335">
        <f>A660+1</f>
        <v>541</v>
      </c>
      <c r="B661" s="257" t="s">
        <v>466</v>
      </c>
      <c r="C661" s="367" t="s">
        <v>467</v>
      </c>
      <c r="D661" s="254" t="s">
        <v>422</v>
      </c>
      <c r="E661" s="254">
        <f>508/2</f>
        <v>254</v>
      </c>
      <c r="F661" s="254">
        <v>1</v>
      </c>
      <c r="G661" s="345">
        <f t="shared" si="217"/>
        <v>254</v>
      </c>
      <c r="H661" s="254"/>
      <c r="I661" s="299">
        <v>98.67</v>
      </c>
      <c r="J661" s="300">
        <v>1.9442999999999999</v>
      </c>
      <c r="K661" s="299">
        <f>ROUND(I661*J661,2)</f>
        <v>191.84</v>
      </c>
      <c r="L661" s="301">
        <f t="shared" si="220"/>
        <v>48727.360000000001</v>
      </c>
      <c r="M661" s="154">
        <f t="shared" si="218"/>
        <v>9745.4699999999993</v>
      </c>
      <c r="N661" s="73">
        <f>ROUND(L661+M661,2)</f>
        <v>58472.83</v>
      </c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64"/>
      <c r="Z661" s="77">
        <v>134130.36000000002</v>
      </c>
      <c r="AA661" s="18">
        <v>120598.74</v>
      </c>
      <c r="AB661" s="22"/>
      <c r="AC661" s="22"/>
      <c r="AD661" s="22"/>
    </row>
    <row r="662" spans="1:30" s="20" customFormat="1" ht="51" hidden="1" x14ac:dyDescent="0.2">
      <c r="A662" s="335">
        <f>A661+1</f>
        <v>542</v>
      </c>
      <c r="B662" s="257" t="s">
        <v>468</v>
      </c>
      <c r="C662" s="367" t="s">
        <v>469</v>
      </c>
      <c r="D662" s="254" t="s">
        <v>411</v>
      </c>
      <c r="E662" s="254">
        <v>8.5</v>
      </c>
      <c r="F662" s="254">
        <v>2</v>
      </c>
      <c r="G662" s="345">
        <f t="shared" si="217"/>
        <v>17</v>
      </c>
      <c r="H662" s="254"/>
      <c r="I662" s="299">
        <v>531.04</v>
      </c>
      <c r="J662" s="300">
        <v>1.9442999999999999</v>
      </c>
      <c r="K662" s="299">
        <f>ROUND(I662*J662,2)</f>
        <v>1032.5</v>
      </c>
      <c r="L662" s="301">
        <f t="shared" si="220"/>
        <v>17552.5</v>
      </c>
      <c r="M662" s="154">
        <f t="shared" si="218"/>
        <v>3510.5</v>
      </c>
      <c r="N662" s="73">
        <f>ROUND(L662+M662,2)</f>
        <v>21063</v>
      </c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64"/>
      <c r="Z662" s="77">
        <v>43594.36</v>
      </c>
      <c r="AA662" s="18">
        <v>21775.88</v>
      </c>
      <c r="AB662" s="22">
        <f>15*17/100</f>
        <v>2.5499999999999998</v>
      </c>
      <c r="AC662" s="22" t="s">
        <v>332</v>
      </c>
      <c r="AD662" s="22"/>
    </row>
    <row r="663" spans="1:30" s="20" customFormat="1" ht="51" hidden="1" x14ac:dyDescent="0.2">
      <c r="A663" s="335">
        <f>A662+1</f>
        <v>543</v>
      </c>
      <c r="B663" s="257" t="s">
        <v>478</v>
      </c>
      <c r="C663" s="369" t="s">
        <v>479</v>
      </c>
      <c r="D663" s="254" t="s">
        <v>422</v>
      </c>
      <c r="E663" s="254">
        <v>102</v>
      </c>
      <c r="F663" s="254">
        <v>1</v>
      </c>
      <c r="G663" s="345">
        <f t="shared" si="217"/>
        <v>102</v>
      </c>
      <c r="H663" s="254"/>
      <c r="I663" s="299">
        <v>209.02</v>
      </c>
      <c r="J663" s="300">
        <v>1.9442999999999999</v>
      </c>
      <c r="K663" s="299">
        <f>ROUND(I663*J663,2)</f>
        <v>406.4</v>
      </c>
      <c r="L663" s="301">
        <f t="shared" si="220"/>
        <v>41452.800000000003</v>
      </c>
      <c r="M663" s="154">
        <f t="shared" si="218"/>
        <v>8290.56</v>
      </c>
      <c r="N663" s="73">
        <f>ROUND(L663+M663,2)</f>
        <v>49743.360000000001</v>
      </c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64"/>
      <c r="Z663" s="77"/>
      <c r="AA663" s="18"/>
      <c r="AB663" s="22"/>
      <c r="AC663" s="22"/>
      <c r="AD663" s="22"/>
    </row>
    <row r="664" spans="1:30" s="20" customFormat="1" ht="63.75" hidden="1" x14ac:dyDescent="0.2">
      <c r="A664" s="335">
        <f>A663+1</f>
        <v>544</v>
      </c>
      <c r="B664" s="257" t="s">
        <v>480</v>
      </c>
      <c r="C664" s="369" t="s">
        <v>509</v>
      </c>
      <c r="D664" s="254" t="s">
        <v>507</v>
      </c>
      <c r="E664" s="254">
        <v>4</v>
      </c>
      <c r="F664" s="254">
        <v>3</v>
      </c>
      <c r="G664" s="254">
        <f t="shared" si="217"/>
        <v>12</v>
      </c>
      <c r="H664" s="254"/>
      <c r="I664" s="299">
        <v>4248.72</v>
      </c>
      <c r="J664" s="300">
        <v>1.9442999999999999</v>
      </c>
      <c r="K664" s="299">
        <f>ROUND(I664*J664,2)</f>
        <v>8260.7900000000009</v>
      </c>
      <c r="L664" s="301">
        <f t="shared" si="220"/>
        <v>99129.48</v>
      </c>
      <c r="M664" s="154">
        <f t="shared" si="218"/>
        <v>19825.900000000001</v>
      </c>
      <c r="N664" s="73">
        <f>ROUND(L664+M664,2)</f>
        <v>118955.38</v>
      </c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64"/>
      <c r="Z664" s="77"/>
      <c r="AA664" s="18"/>
      <c r="AB664" s="22"/>
      <c r="AC664" s="22"/>
      <c r="AD664" s="22"/>
    </row>
    <row r="665" spans="1:30" s="20" customFormat="1" ht="38.25" hidden="1" x14ac:dyDescent="0.2">
      <c r="A665" s="335">
        <f>A664+1</f>
        <v>545</v>
      </c>
      <c r="B665" s="222" t="s">
        <v>480</v>
      </c>
      <c r="C665" s="367" t="s">
        <v>518</v>
      </c>
      <c r="D665" s="314" t="s">
        <v>508</v>
      </c>
      <c r="E665" s="297">
        <v>1</v>
      </c>
      <c r="F665" s="297">
        <v>92</v>
      </c>
      <c r="G665" s="297">
        <f t="shared" si="217"/>
        <v>92</v>
      </c>
      <c r="H665" s="254"/>
      <c r="I665" s="299">
        <v>535.76</v>
      </c>
      <c r="J665" s="308">
        <v>1</v>
      </c>
      <c r="K665" s="299">
        <f>ROUND(I665*J665,2)</f>
        <v>535.76</v>
      </c>
      <c r="L665" s="301">
        <f t="shared" si="220"/>
        <v>49289.919999999998</v>
      </c>
      <c r="M665" s="154">
        <f t="shared" si="218"/>
        <v>9857.98</v>
      </c>
      <c r="N665" s="73">
        <f>ROUND(M665+L665,2)</f>
        <v>59147.9</v>
      </c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64"/>
      <c r="Z665" s="77"/>
      <c r="AA665" s="18"/>
      <c r="AB665" s="22"/>
      <c r="AC665" s="22"/>
      <c r="AD665" s="22"/>
    </row>
    <row r="666" spans="1:30" s="20" customFormat="1" ht="12.75" hidden="1" x14ac:dyDescent="0.2">
      <c r="A666" s="335"/>
      <c r="B666" s="257"/>
      <c r="C666" s="246" t="s">
        <v>88</v>
      </c>
      <c r="D666" s="254"/>
      <c r="E666" s="254"/>
      <c r="F666" s="254"/>
      <c r="G666" s="345"/>
      <c r="H666" s="254"/>
      <c r="I666" s="299"/>
      <c r="J666" s="300"/>
      <c r="K666" s="299"/>
      <c r="L666" s="301"/>
      <c r="M666" s="154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64"/>
      <c r="Z666" s="77"/>
      <c r="AA666" s="18"/>
      <c r="AB666" s="22"/>
      <c r="AC666" s="22"/>
      <c r="AD666" s="22"/>
    </row>
    <row r="667" spans="1:30" s="20" customFormat="1" ht="76.5" hidden="1" x14ac:dyDescent="0.2">
      <c r="A667" s="335">
        <f>A665+1</f>
        <v>546</v>
      </c>
      <c r="B667" s="257" t="s">
        <v>170</v>
      </c>
      <c r="C667" s="368" t="s">
        <v>171</v>
      </c>
      <c r="D667" s="254" t="s">
        <v>422</v>
      </c>
      <c r="E667" s="254">
        <v>800</v>
      </c>
      <c r="F667" s="254">
        <v>3</v>
      </c>
      <c r="G667" s="345">
        <f>ROUND(E667*F667,2)</f>
        <v>2400</v>
      </c>
      <c r="H667" s="254"/>
      <c r="I667" s="299">
        <v>12.79</v>
      </c>
      <c r="J667" s="300">
        <v>1.9442999999999999</v>
      </c>
      <c r="K667" s="299">
        <f t="shared" si="212"/>
        <v>24.87</v>
      </c>
      <c r="L667" s="301">
        <f>ROUND(K667*G667,2)</f>
        <v>59688</v>
      </c>
      <c r="M667" s="154">
        <f>ROUND(L667*0.2,2)</f>
        <v>11937.6</v>
      </c>
      <c r="N667" s="73">
        <f t="shared" si="211"/>
        <v>71625.600000000006</v>
      </c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64"/>
      <c r="Z667" s="77"/>
      <c r="AA667" s="18"/>
      <c r="AB667" s="22"/>
      <c r="AC667" s="22"/>
      <c r="AD667" s="22"/>
    </row>
    <row r="668" spans="1:30" s="20" customFormat="1" ht="25.5" hidden="1" x14ac:dyDescent="0.2">
      <c r="A668" s="335"/>
      <c r="B668" s="366"/>
      <c r="C668" s="246" t="s">
        <v>141</v>
      </c>
      <c r="D668" s="227"/>
      <c r="E668" s="254"/>
      <c r="F668" s="254"/>
      <c r="G668" s="345"/>
      <c r="H668" s="254"/>
      <c r="I668" s="299"/>
      <c r="J668" s="300"/>
      <c r="K668" s="299"/>
      <c r="L668" s="301"/>
      <c r="M668" s="154"/>
      <c r="N668" s="250"/>
      <c r="O668" s="524">
        <v>4001542.0199999996</v>
      </c>
      <c r="P668" s="73"/>
      <c r="Q668" s="73"/>
      <c r="R668" s="73"/>
      <c r="S668" s="73"/>
      <c r="T668" s="73"/>
      <c r="U668" s="73"/>
      <c r="V668" s="73"/>
      <c r="W668" s="73"/>
      <c r="X668" s="73"/>
      <c r="Y668" s="183">
        <f>SUM(N669:N688)</f>
        <v>7625709.2499999991</v>
      </c>
      <c r="Z668" s="77"/>
      <c r="AA668" s="18"/>
      <c r="AB668" s="22"/>
      <c r="AC668" s="22"/>
      <c r="AD668" s="22"/>
    </row>
    <row r="669" spans="1:30" s="20" customFormat="1" ht="76.5" hidden="1" x14ac:dyDescent="0.2">
      <c r="A669" s="335">
        <f>A667+1</f>
        <v>547</v>
      </c>
      <c r="B669" s="366" t="s">
        <v>172</v>
      </c>
      <c r="C669" s="367" t="s">
        <v>278</v>
      </c>
      <c r="D669" s="254" t="s">
        <v>354</v>
      </c>
      <c r="E669" s="254">
        <v>62.6</v>
      </c>
      <c r="F669" s="254">
        <v>6</v>
      </c>
      <c r="G669" s="345">
        <f t="shared" ref="G669:G687" si="221">ROUND(E669*F669,2)</f>
        <v>375.6</v>
      </c>
      <c r="H669" s="254"/>
      <c r="I669" s="299">
        <v>35.01</v>
      </c>
      <c r="J669" s="300">
        <v>1.9442999999999999</v>
      </c>
      <c r="K669" s="299">
        <f t="shared" ref="K669:K684" si="222">ROUND(I669*J669,2)</f>
        <v>68.069999999999993</v>
      </c>
      <c r="L669" s="301">
        <f t="shared" ref="L669:L684" si="223">ROUND(K669*G669,2)</f>
        <v>25567.09</v>
      </c>
      <c r="M669" s="154">
        <f t="shared" ref="M669:M684" si="224">ROUND(L669*0.2,2)</f>
        <v>5113.42</v>
      </c>
      <c r="N669" s="250">
        <f t="shared" ref="N669:N684" si="225">ROUND(L669+M669,2)</f>
        <v>30680.51</v>
      </c>
      <c r="O669" s="515"/>
      <c r="P669" s="515"/>
      <c r="Q669" s="515"/>
      <c r="R669" s="515"/>
      <c r="S669" s="515"/>
      <c r="T669" s="515"/>
      <c r="U669" s="515"/>
      <c r="V669" s="515"/>
      <c r="W669" s="515"/>
      <c r="X669" s="515"/>
      <c r="Y669" s="120"/>
      <c r="Z669" s="77">
        <v>101104.44</v>
      </c>
      <c r="AA669" s="18">
        <v>100981.19</v>
      </c>
      <c r="AB669" s="22"/>
      <c r="AC669" s="22"/>
      <c r="AD669" s="22"/>
    </row>
    <row r="670" spans="1:30" s="20" customFormat="1" ht="76.5" hidden="1" x14ac:dyDescent="0.2">
      <c r="A670" s="335">
        <f t="shared" ref="A670:A688" si="226">A669+1</f>
        <v>548</v>
      </c>
      <c r="B670" s="366" t="s">
        <v>174</v>
      </c>
      <c r="C670" s="367" t="s">
        <v>113</v>
      </c>
      <c r="D670" s="254" t="s">
        <v>354</v>
      </c>
      <c r="E670" s="254">
        <v>402.55799999999999</v>
      </c>
      <c r="F670" s="254">
        <v>6</v>
      </c>
      <c r="G670" s="345">
        <f t="shared" si="221"/>
        <v>2415.35</v>
      </c>
      <c r="H670" s="254"/>
      <c r="I670" s="299">
        <v>101.44</v>
      </c>
      <c r="J670" s="300">
        <v>1.9442999999999999</v>
      </c>
      <c r="K670" s="299">
        <f t="shared" si="222"/>
        <v>197.23</v>
      </c>
      <c r="L670" s="301">
        <f t="shared" si="223"/>
        <v>476379.48</v>
      </c>
      <c r="M670" s="154">
        <f t="shared" si="224"/>
        <v>95275.9</v>
      </c>
      <c r="N670" s="250">
        <f t="shared" si="225"/>
        <v>571655.38</v>
      </c>
      <c r="O670" s="515"/>
      <c r="P670" s="515"/>
      <c r="Q670" s="515"/>
      <c r="R670" s="515"/>
      <c r="S670" s="515"/>
      <c r="T670" s="515"/>
      <c r="U670" s="515"/>
      <c r="V670" s="515"/>
      <c r="W670" s="515"/>
      <c r="X670" s="515"/>
      <c r="Y670" s="120"/>
      <c r="Z670" s="102"/>
      <c r="AA670" s="57"/>
      <c r="AB670" s="22"/>
      <c r="AC670" s="22"/>
      <c r="AD670" s="22"/>
    </row>
    <row r="671" spans="1:30" s="20" customFormat="1" ht="76.5" hidden="1" x14ac:dyDescent="0.2">
      <c r="A671" s="335">
        <f t="shared" si="226"/>
        <v>549</v>
      </c>
      <c r="B671" s="366" t="s">
        <v>175</v>
      </c>
      <c r="C671" s="367" t="s">
        <v>176</v>
      </c>
      <c r="D671" s="254" t="s">
        <v>354</v>
      </c>
      <c r="E671" s="254">
        <v>162.61000000000001</v>
      </c>
      <c r="F671" s="254">
        <v>5</v>
      </c>
      <c r="G671" s="345">
        <f t="shared" si="221"/>
        <v>813.05</v>
      </c>
      <c r="H671" s="254"/>
      <c r="I671" s="299">
        <v>100.49</v>
      </c>
      <c r="J671" s="300">
        <v>1.9442999999999999</v>
      </c>
      <c r="K671" s="299">
        <f t="shared" si="222"/>
        <v>195.38</v>
      </c>
      <c r="L671" s="301">
        <f t="shared" si="223"/>
        <v>158853.71</v>
      </c>
      <c r="M671" s="154">
        <f t="shared" si="224"/>
        <v>31770.74</v>
      </c>
      <c r="N671" s="250">
        <f t="shared" si="225"/>
        <v>190624.45</v>
      </c>
      <c r="O671" s="515"/>
      <c r="P671" s="515"/>
      <c r="Q671" s="515"/>
      <c r="R671" s="515"/>
      <c r="S671" s="515"/>
      <c r="T671" s="515"/>
      <c r="U671" s="515"/>
      <c r="V671" s="515"/>
      <c r="W671" s="515"/>
      <c r="X671" s="515"/>
      <c r="Y671" s="120"/>
      <c r="Z671" s="102"/>
      <c r="AA671" s="57"/>
      <c r="AB671" s="22"/>
      <c r="AC671" s="22"/>
      <c r="AD671" s="22"/>
    </row>
    <row r="672" spans="1:30" s="20" customFormat="1" ht="76.5" hidden="1" x14ac:dyDescent="0.2">
      <c r="A672" s="335">
        <f t="shared" si="226"/>
        <v>550</v>
      </c>
      <c r="B672" s="366" t="s">
        <v>177</v>
      </c>
      <c r="C672" s="367" t="s">
        <v>279</v>
      </c>
      <c r="D672" s="254" t="s">
        <v>432</v>
      </c>
      <c r="E672" s="254">
        <v>1189.693</v>
      </c>
      <c r="F672" s="254">
        <v>6</v>
      </c>
      <c r="G672" s="345">
        <f t="shared" si="221"/>
        <v>7138.16</v>
      </c>
      <c r="H672" s="254"/>
      <c r="I672" s="299">
        <v>126.79</v>
      </c>
      <c r="J672" s="300">
        <v>1.9442999999999999</v>
      </c>
      <c r="K672" s="299">
        <f t="shared" si="222"/>
        <v>246.52</v>
      </c>
      <c r="L672" s="301">
        <f t="shared" si="223"/>
        <v>1759699.2</v>
      </c>
      <c r="M672" s="154">
        <f t="shared" si="224"/>
        <v>351939.84000000003</v>
      </c>
      <c r="N672" s="250">
        <f t="shared" si="225"/>
        <v>2111639.04</v>
      </c>
      <c r="O672" s="515"/>
      <c r="P672" s="515"/>
      <c r="Q672" s="515"/>
      <c r="R672" s="515"/>
      <c r="S672" s="515"/>
      <c r="T672" s="515"/>
      <c r="U672" s="515"/>
      <c r="V672" s="515"/>
      <c r="W672" s="515"/>
      <c r="X672" s="515"/>
      <c r="Y672" s="120"/>
      <c r="Z672" s="102"/>
      <c r="AA672" s="57"/>
      <c r="AB672" s="22"/>
      <c r="AC672" s="22"/>
      <c r="AD672" s="22"/>
    </row>
    <row r="673" spans="1:30" s="20" customFormat="1" ht="76.5" hidden="1" x14ac:dyDescent="0.2">
      <c r="A673" s="335">
        <f t="shared" si="226"/>
        <v>551</v>
      </c>
      <c r="B673" s="366" t="s">
        <v>179</v>
      </c>
      <c r="C673" s="367" t="s">
        <v>231</v>
      </c>
      <c r="D673" s="254" t="s">
        <v>432</v>
      </c>
      <c r="E673" s="254">
        <v>487.83</v>
      </c>
      <c r="F673" s="254">
        <v>5</v>
      </c>
      <c r="G673" s="345">
        <f t="shared" si="221"/>
        <v>2439.15</v>
      </c>
      <c r="H673" s="254"/>
      <c r="I673" s="299">
        <v>57.42</v>
      </c>
      <c r="J673" s="300">
        <v>1.9442999999999999</v>
      </c>
      <c r="K673" s="299">
        <f t="shared" si="222"/>
        <v>111.64</v>
      </c>
      <c r="L673" s="301">
        <f t="shared" si="223"/>
        <v>272306.71000000002</v>
      </c>
      <c r="M673" s="154">
        <f t="shared" si="224"/>
        <v>54461.34</v>
      </c>
      <c r="N673" s="250">
        <f t="shared" si="225"/>
        <v>326768.05</v>
      </c>
      <c r="O673" s="515"/>
      <c r="P673" s="515"/>
      <c r="Q673" s="515"/>
      <c r="R673" s="515"/>
      <c r="S673" s="515"/>
      <c r="T673" s="515"/>
      <c r="U673" s="515"/>
      <c r="V673" s="515"/>
      <c r="W673" s="515"/>
      <c r="X673" s="515"/>
      <c r="Y673" s="120"/>
      <c r="Z673" s="102"/>
      <c r="AA673" s="57"/>
      <c r="AB673" s="22"/>
      <c r="AC673" s="22"/>
      <c r="AD673" s="22"/>
    </row>
    <row r="674" spans="1:30" s="20" customFormat="1" ht="76.5" hidden="1" x14ac:dyDescent="0.2">
      <c r="A674" s="335">
        <f t="shared" si="226"/>
        <v>552</v>
      </c>
      <c r="B674" s="366" t="s">
        <v>525</v>
      </c>
      <c r="C674" s="367" t="s">
        <v>280</v>
      </c>
      <c r="D674" s="254" t="s">
        <v>432</v>
      </c>
      <c r="E674" s="254">
        <v>221.3</v>
      </c>
      <c r="F674" s="254">
        <v>6</v>
      </c>
      <c r="G674" s="345">
        <f t="shared" si="221"/>
        <v>1327.8</v>
      </c>
      <c r="H674" s="254"/>
      <c r="I674" s="299">
        <v>26.46</v>
      </c>
      <c r="J674" s="300">
        <v>1.9442999999999999</v>
      </c>
      <c r="K674" s="299">
        <f t="shared" si="222"/>
        <v>51.45</v>
      </c>
      <c r="L674" s="301">
        <f t="shared" si="223"/>
        <v>68315.31</v>
      </c>
      <c r="M674" s="154">
        <f t="shared" si="224"/>
        <v>13663.06</v>
      </c>
      <c r="N674" s="250">
        <f t="shared" si="225"/>
        <v>81978.37</v>
      </c>
      <c r="O674" s="515"/>
      <c r="P674" s="515"/>
      <c r="Q674" s="515"/>
      <c r="R674" s="515"/>
      <c r="S674" s="515"/>
      <c r="T674" s="515"/>
      <c r="U674" s="515"/>
      <c r="V674" s="515"/>
      <c r="W674" s="515"/>
      <c r="X674" s="515"/>
      <c r="Y674" s="120"/>
      <c r="Z674" s="102"/>
      <c r="AA674" s="57"/>
      <c r="AB674" s="22"/>
      <c r="AC674" s="22"/>
      <c r="AD674" s="22"/>
    </row>
    <row r="675" spans="1:30" s="20" customFormat="1" ht="76.5" hidden="1" x14ac:dyDescent="0.2">
      <c r="A675" s="335">
        <f t="shared" si="226"/>
        <v>553</v>
      </c>
      <c r="B675" s="257" t="s">
        <v>232</v>
      </c>
      <c r="C675" s="367" t="s">
        <v>281</v>
      </c>
      <c r="D675" s="254" t="s">
        <v>432</v>
      </c>
      <c r="E675" s="254">
        <v>221.3</v>
      </c>
      <c r="F675" s="254">
        <v>6</v>
      </c>
      <c r="G675" s="345">
        <f t="shared" si="221"/>
        <v>1327.8</v>
      </c>
      <c r="H675" s="254"/>
      <c r="I675" s="299">
        <v>41.19</v>
      </c>
      <c r="J675" s="300">
        <v>1.9442999999999999</v>
      </c>
      <c r="K675" s="299">
        <f t="shared" si="222"/>
        <v>80.09</v>
      </c>
      <c r="L675" s="301">
        <f t="shared" si="223"/>
        <v>106343.5</v>
      </c>
      <c r="M675" s="154">
        <f t="shared" si="224"/>
        <v>21268.7</v>
      </c>
      <c r="N675" s="250">
        <f t="shared" si="225"/>
        <v>127612.2</v>
      </c>
      <c r="O675" s="515"/>
      <c r="P675" s="515"/>
      <c r="Q675" s="515"/>
      <c r="R675" s="515"/>
      <c r="S675" s="515"/>
      <c r="T675" s="515"/>
      <c r="U675" s="515"/>
      <c r="V675" s="515"/>
      <c r="W675" s="515"/>
      <c r="X675" s="515"/>
      <c r="Y675" s="120"/>
      <c r="Z675" s="102"/>
      <c r="AA675" s="57"/>
      <c r="AB675" s="22"/>
      <c r="AC675" s="22"/>
      <c r="AD675" s="22"/>
    </row>
    <row r="676" spans="1:30" s="20" customFormat="1" ht="67.5" hidden="1" customHeight="1" x14ac:dyDescent="0.2">
      <c r="A676" s="335">
        <f t="shared" si="226"/>
        <v>554</v>
      </c>
      <c r="B676" s="366" t="s">
        <v>182</v>
      </c>
      <c r="C676" s="367" t="s">
        <v>282</v>
      </c>
      <c r="D676" s="254" t="s">
        <v>432</v>
      </c>
      <c r="E676" s="254">
        <v>221.3</v>
      </c>
      <c r="F676" s="254">
        <v>5</v>
      </c>
      <c r="G676" s="345">
        <f t="shared" si="221"/>
        <v>1106.5</v>
      </c>
      <c r="H676" s="254"/>
      <c r="I676" s="299">
        <v>57.06</v>
      </c>
      <c r="J676" s="300">
        <v>1.9442999999999999</v>
      </c>
      <c r="K676" s="299">
        <f t="shared" si="222"/>
        <v>110.94</v>
      </c>
      <c r="L676" s="301">
        <f t="shared" si="223"/>
        <v>122755.11</v>
      </c>
      <c r="M676" s="154">
        <f t="shared" si="224"/>
        <v>24551.02</v>
      </c>
      <c r="N676" s="250">
        <f t="shared" si="225"/>
        <v>147306.13</v>
      </c>
      <c r="O676" s="515"/>
      <c r="P676" s="515"/>
      <c r="Q676" s="515"/>
      <c r="R676" s="515"/>
      <c r="S676" s="515"/>
      <c r="T676" s="515"/>
      <c r="U676" s="515"/>
      <c r="V676" s="515"/>
      <c r="W676" s="515"/>
      <c r="X676" s="515"/>
      <c r="Y676" s="120"/>
      <c r="Z676" s="102"/>
      <c r="AA676" s="57"/>
      <c r="AB676" s="22"/>
      <c r="AC676" s="22"/>
      <c r="AD676" s="22"/>
    </row>
    <row r="677" spans="1:30" s="20" customFormat="1" ht="77.25" hidden="1" customHeight="1" x14ac:dyDescent="0.2">
      <c r="A677" s="335">
        <f t="shared" si="226"/>
        <v>555</v>
      </c>
      <c r="B677" s="366" t="s">
        <v>182</v>
      </c>
      <c r="C677" s="367" t="s">
        <v>528</v>
      </c>
      <c r="D677" s="254" t="s">
        <v>432</v>
      </c>
      <c r="E677" s="360">
        <v>743.904</v>
      </c>
      <c r="F677" s="254">
        <v>5</v>
      </c>
      <c r="G677" s="345">
        <f t="shared" si="221"/>
        <v>3719.52</v>
      </c>
      <c r="H677" s="254"/>
      <c r="I677" s="299">
        <v>57.06</v>
      </c>
      <c r="J677" s="300">
        <v>1.9442999999999999</v>
      </c>
      <c r="K677" s="299">
        <f t="shared" si="222"/>
        <v>110.94</v>
      </c>
      <c r="L677" s="301">
        <f t="shared" si="223"/>
        <v>412643.55</v>
      </c>
      <c r="M677" s="154">
        <f t="shared" si="224"/>
        <v>82528.710000000006</v>
      </c>
      <c r="N677" s="250">
        <f t="shared" si="225"/>
        <v>495172.26</v>
      </c>
      <c r="O677" s="515"/>
      <c r="P677" s="515"/>
      <c r="Q677" s="515"/>
      <c r="R677" s="515"/>
      <c r="S677" s="515"/>
      <c r="T677" s="515"/>
      <c r="U677" s="515"/>
      <c r="V677" s="515"/>
      <c r="W677" s="515"/>
      <c r="X677" s="515"/>
      <c r="Y677" s="138">
        <f>N676+N677+N678</f>
        <v>3243011.54</v>
      </c>
      <c r="Z677" s="102"/>
      <c r="AA677" s="57"/>
      <c r="AB677" s="22"/>
      <c r="AC677" s="22"/>
      <c r="AD677" s="22"/>
    </row>
    <row r="678" spans="1:30" s="20" customFormat="1" ht="76.5" hidden="1" x14ac:dyDescent="0.2">
      <c r="A678" s="335">
        <f t="shared" si="226"/>
        <v>556</v>
      </c>
      <c r="B678" s="366" t="s">
        <v>189</v>
      </c>
      <c r="C678" s="367" t="s">
        <v>1</v>
      </c>
      <c r="D678" s="254" t="s">
        <v>355</v>
      </c>
      <c r="E678" s="299">
        <f>(E676+E677)*1000*300/1000/1000</f>
        <v>289.56119999999999</v>
      </c>
      <c r="F678" s="254">
        <v>5</v>
      </c>
      <c r="G678" s="345">
        <f t="shared" si="221"/>
        <v>1447.81</v>
      </c>
      <c r="H678" s="254"/>
      <c r="I678" s="299">
        <v>769.85</v>
      </c>
      <c r="J678" s="300">
        <v>1.9442999999999999</v>
      </c>
      <c r="K678" s="299">
        <f>ROUND(I678*J678,2)</f>
        <v>1496.82</v>
      </c>
      <c r="L678" s="301">
        <f>ROUND(K678*G678,2)</f>
        <v>2167110.96</v>
      </c>
      <c r="M678" s="154">
        <f>ROUND(L678*0.2,2)</f>
        <v>433422.19</v>
      </c>
      <c r="N678" s="250">
        <f>ROUND(L678+M678,2)</f>
        <v>2600533.15</v>
      </c>
      <c r="O678" s="515"/>
      <c r="P678" s="515"/>
      <c r="Q678" s="515"/>
      <c r="R678" s="515"/>
      <c r="S678" s="515"/>
      <c r="T678" s="515"/>
      <c r="U678" s="515"/>
      <c r="V678" s="515"/>
      <c r="W678" s="515"/>
      <c r="X678" s="515"/>
      <c r="Y678" s="120"/>
      <c r="Z678" s="102"/>
      <c r="AA678" s="57"/>
      <c r="AB678" s="22"/>
      <c r="AC678" s="22"/>
      <c r="AD678" s="22"/>
    </row>
    <row r="679" spans="1:30" s="20" customFormat="1" ht="76.5" hidden="1" x14ac:dyDescent="0.2">
      <c r="A679" s="335">
        <f t="shared" si="226"/>
        <v>557</v>
      </c>
      <c r="B679" s="366" t="s">
        <v>184</v>
      </c>
      <c r="C679" s="367" t="s">
        <v>114</v>
      </c>
      <c r="D679" s="254" t="s">
        <v>432</v>
      </c>
      <c r="E679" s="254">
        <v>0.47</v>
      </c>
      <c r="F679" s="254">
        <v>4</v>
      </c>
      <c r="G679" s="345">
        <f t="shared" si="221"/>
        <v>1.88</v>
      </c>
      <c r="H679" s="254"/>
      <c r="I679" s="299">
        <v>8421.01</v>
      </c>
      <c r="J679" s="300">
        <v>1.9442999999999999</v>
      </c>
      <c r="K679" s="299">
        <f t="shared" si="222"/>
        <v>16372.97</v>
      </c>
      <c r="L679" s="301">
        <f t="shared" si="223"/>
        <v>30781.18</v>
      </c>
      <c r="M679" s="154">
        <f t="shared" si="224"/>
        <v>6156.24</v>
      </c>
      <c r="N679" s="250">
        <f t="shared" si="225"/>
        <v>36937.42</v>
      </c>
      <c r="O679" s="515"/>
      <c r="P679" s="515"/>
      <c r="Q679" s="515"/>
      <c r="R679" s="515"/>
      <c r="S679" s="515"/>
      <c r="T679" s="515"/>
      <c r="U679" s="515"/>
      <c r="V679" s="515"/>
      <c r="W679" s="515"/>
      <c r="X679" s="515"/>
      <c r="Y679" s="120"/>
      <c r="Z679" s="102"/>
      <c r="AA679" s="57"/>
      <c r="AB679" s="22"/>
      <c r="AC679" s="22"/>
      <c r="AD679" s="22"/>
    </row>
    <row r="680" spans="1:30" s="20" customFormat="1" ht="76.5" hidden="1" x14ac:dyDescent="0.2">
      <c r="A680" s="335">
        <f t="shared" si="226"/>
        <v>558</v>
      </c>
      <c r="B680" s="366" t="s">
        <v>206</v>
      </c>
      <c r="C680" s="367" t="s">
        <v>186</v>
      </c>
      <c r="D680" s="254" t="s">
        <v>354</v>
      </c>
      <c r="E680" s="254">
        <v>106.04300000000001</v>
      </c>
      <c r="F680" s="254">
        <v>1</v>
      </c>
      <c r="G680" s="345">
        <f t="shared" si="221"/>
        <v>106.04</v>
      </c>
      <c r="H680" s="254"/>
      <c r="I680" s="299">
        <v>234.64</v>
      </c>
      <c r="J680" s="300">
        <v>1.9442999999999999</v>
      </c>
      <c r="K680" s="299">
        <f t="shared" si="222"/>
        <v>456.21</v>
      </c>
      <c r="L680" s="301">
        <f t="shared" si="223"/>
        <v>48376.51</v>
      </c>
      <c r="M680" s="154">
        <f t="shared" si="224"/>
        <v>9675.2999999999993</v>
      </c>
      <c r="N680" s="250">
        <f t="shared" si="225"/>
        <v>58051.81</v>
      </c>
      <c r="O680" s="515"/>
      <c r="P680" s="515"/>
      <c r="Q680" s="515"/>
      <c r="R680" s="515"/>
      <c r="S680" s="515"/>
      <c r="T680" s="515"/>
      <c r="U680" s="515"/>
      <c r="V680" s="515"/>
      <c r="W680" s="515"/>
      <c r="X680" s="515"/>
      <c r="Y680" s="120"/>
      <c r="Z680" s="102"/>
      <c r="AA680" s="57"/>
      <c r="AB680" s="22"/>
      <c r="AC680" s="22"/>
      <c r="AD680" s="22"/>
    </row>
    <row r="681" spans="1:30" s="20" customFormat="1" ht="76.5" hidden="1" x14ac:dyDescent="0.2">
      <c r="A681" s="335">
        <f t="shared" si="226"/>
        <v>559</v>
      </c>
      <c r="B681" s="366" t="s">
        <v>187</v>
      </c>
      <c r="C681" s="367" t="s">
        <v>283</v>
      </c>
      <c r="D681" s="254" t="s">
        <v>354</v>
      </c>
      <c r="E681" s="254">
        <v>699.4</v>
      </c>
      <c r="F681" s="254">
        <v>1</v>
      </c>
      <c r="G681" s="345">
        <f t="shared" si="221"/>
        <v>699.4</v>
      </c>
      <c r="H681" s="254"/>
      <c r="I681" s="299">
        <v>238.67</v>
      </c>
      <c r="J681" s="300">
        <v>1.9442999999999999</v>
      </c>
      <c r="K681" s="299">
        <f t="shared" si="222"/>
        <v>464.05</v>
      </c>
      <c r="L681" s="301">
        <f t="shared" si="223"/>
        <v>324556.57</v>
      </c>
      <c r="M681" s="154">
        <f t="shared" si="224"/>
        <v>64911.31</v>
      </c>
      <c r="N681" s="250">
        <f t="shared" si="225"/>
        <v>389467.88</v>
      </c>
      <c r="O681" s="515"/>
      <c r="P681" s="515"/>
      <c r="Q681" s="515"/>
      <c r="R681" s="515"/>
      <c r="S681" s="515"/>
      <c r="T681" s="515"/>
      <c r="U681" s="515"/>
      <c r="V681" s="515"/>
      <c r="W681" s="515"/>
      <c r="X681" s="515"/>
      <c r="Y681" s="120"/>
      <c r="Z681" s="102"/>
      <c r="AA681" s="57"/>
      <c r="AB681" s="22"/>
      <c r="AC681" s="22"/>
      <c r="AD681" s="22"/>
    </row>
    <row r="682" spans="1:30" s="20" customFormat="1" ht="76.5" hidden="1" x14ac:dyDescent="0.2">
      <c r="A682" s="335">
        <f t="shared" si="226"/>
        <v>560</v>
      </c>
      <c r="B682" s="366" t="s">
        <v>188</v>
      </c>
      <c r="C682" s="367" t="s">
        <v>94</v>
      </c>
      <c r="D682" s="254" t="s">
        <v>422</v>
      </c>
      <c r="E682" s="254">
        <v>288</v>
      </c>
      <c r="F682" s="254">
        <v>1</v>
      </c>
      <c r="G682" s="345">
        <f t="shared" si="221"/>
        <v>288</v>
      </c>
      <c r="H682" s="254"/>
      <c r="I682" s="299">
        <v>6.22</v>
      </c>
      <c r="J682" s="300">
        <v>1.9442999999999999</v>
      </c>
      <c r="K682" s="299">
        <f t="shared" si="222"/>
        <v>12.09</v>
      </c>
      <c r="L682" s="301">
        <f t="shared" si="223"/>
        <v>3481.92</v>
      </c>
      <c r="M682" s="154">
        <f t="shared" si="224"/>
        <v>696.38</v>
      </c>
      <c r="N682" s="250">
        <f t="shared" si="225"/>
        <v>4178.3</v>
      </c>
      <c r="O682" s="515"/>
      <c r="P682" s="515"/>
      <c r="Q682" s="515"/>
      <c r="R682" s="515"/>
      <c r="S682" s="515"/>
      <c r="T682" s="515"/>
      <c r="U682" s="515"/>
      <c r="V682" s="515"/>
      <c r="W682" s="515"/>
      <c r="X682" s="515"/>
      <c r="Y682" s="120"/>
      <c r="Z682" s="102"/>
      <c r="AA682" s="57"/>
      <c r="AB682" s="22"/>
      <c r="AC682" s="22"/>
      <c r="AD682" s="22"/>
    </row>
    <row r="683" spans="1:30" s="20" customFormat="1" ht="51" hidden="1" x14ac:dyDescent="0.2">
      <c r="A683" s="335">
        <f t="shared" si="226"/>
        <v>561</v>
      </c>
      <c r="B683" s="366" t="s">
        <v>482</v>
      </c>
      <c r="C683" s="367" t="s">
        <v>483</v>
      </c>
      <c r="D683" s="254" t="s">
        <v>422</v>
      </c>
      <c r="E683" s="254">
        <v>205</v>
      </c>
      <c r="F683" s="254">
        <v>1</v>
      </c>
      <c r="G683" s="345">
        <f t="shared" si="221"/>
        <v>205</v>
      </c>
      <c r="H683" s="254"/>
      <c r="I683" s="299">
        <v>134.49</v>
      </c>
      <c r="J683" s="300">
        <v>1.9442999999999999</v>
      </c>
      <c r="K683" s="299">
        <f t="shared" si="222"/>
        <v>261.49</v>
      </c>
      <c r="L683" s="301">
        <f t="shared" si="223"/>
        <v>53605.45</v>
      </c>
      <c r="M683" s="154">
        <f t="shared" si="224"/>
        <v>10721.09</v>
      </c>
      <c r="N683" s="250">
        <f t="shared" si="225"/>
        <v>64326.54</v>
      </c>
      <c r="O683" s="515"/>
      <c r="P683" s="515"/>
      <c r="Q683" s="515"/>
      <c r="R683" s="515"/>
      <c r="S683" s="515"/>
      <c r="T683" s="515"/>
      <c r="U683" s="515"/>
      <c r="V683" s="515"/>
      <c r="W683" s="515"/>
      <c r="X683" s="515"/>
      <c r="Y683" s="120"/>
      <c r="Z683" s="102"/>
      <c r="AA683" s="57"/>
      <c r="AB683" s="22"/>
      <c r="AC683" s="22"/>
      <c r="AD683" s="22"/>
    </row>
    <row r="684" spans="1:30" s="20" customFormat="1" ht="76.5" hidden="1" x14ac:dyDescent="0.2">
      <c r="A684" s="335">
        <f t="shared" si="226"/>
        <v>562</v>
      </c>
      <c r="B684" s="366" t="s">
        <v>170</v>
      </c>
      <c r="C684" s="367" t="s">
        <v>171</v>
      </c>
      <c r="D684" s="254" t="s">
        <v>422</v>
      </c>
      <c r="E684" s="254">
        <v>600</v>
      </c>
      <c r="F684" s="254">
        <v>3</v>
      </c>
      <c r="G684" s="345">
        <f t="shared" si="221"/>
        <v>1800</v>
      </c>
      <c r="H684" s="254"/>
      <c r="I684" s="299">
        <v>12.79</v>
      </c>
      <c r="J684" s="300">
        <v>1.9442999999999999</v>
      </c>
      <c r="K684" s="299">
        <f t="shared" si="222"/>
        <v>24.87</v>
      </c>
      <c r="L684" s="301">
        <f t="shared" si="223"/>
        <v>44766</v>
      </c>
      <c r="M684" s="154">
        <f t="shared" si="224"/>
        <v>8953.2000000000007</v>
      </c>
      <c r="N684" s="250">
        <f t="shared" si="225"/>
        <v>53719.199999999997</v>
      </c>
      <c r="O684" s="515"/>
      <c r="P684" s="515"/>
      <c r="Q684" s="515"/>
      <c r="R684" s="515"/>
      <c r="S684" s="515"/>
      <c r="T684" s="515"/>
      <c r="U684" s="515"/>
      <c r="V684" s="515"/>
      <c r="W684" s="515"/>
      <c r="X684" s="515"/>
      <c r="Y684" s="120"/>
      <c r="Z684" s="102"/>
      <c r="AA684" s="57"/>
      <c r="AB684" s="22"/>
      <c r="AC684" s="22"/>
      <c r="AD684" s="22"/>
    </row>
    <row r="685" spans="1:30" s="20" customFormat="1" ht="51" hidden="1" x14ac:dyDescent="0.2">
      <c r="A685" s="335">
        <f t="shared" si="226"/>
        <v>563</v>
      </c>
      <c r="B685" s="366" t="s">
        <v>484</v>
      </c>
      <c r="C685" s="369" t="s">
        <v>485</v>
      </c>
      <c r="D685" s="305" t="s">
        <v>422</v>
      </c>
      <c r="E685" s="305">
        <v>1016</v>
      </c>
      <c r="F685" s="305">
        <v>1</v>
      </c>
      <c r="G685" s="345">
        <f t="shared" si="221"/>
        <v>1016</v>
      </c>
      <c r="H685" s="254"/>
      <c r="I685" s="299">
        <v>10.81</v>
      </c>
      <c r="J685" s="300">
        <v>1.9442999999999999</v>
      </c>
      <c r="K685" s="299">
        <f>ROUND(I685*J685,2)</f>
        <v>21.02</v>
      </c>
      <c r="L685" s="301">
        <f>ROUND(K685*G685,2)</f>
        <v>21356.32</v>
      </c>
      <c r="M685" s="154">
        <f>ROUND(L685*0.2,2)</f>
        <v>4271.26</v>
      </c>
      <c r="N685" s="250">
        <f>ROUND(L685+M685,2)</f>
        <v>25627.58</v>
      </c>
      <c r="O685" s="515"/>
      <c r="P685" s="515"/>
      <c r="Q685" s="515"/>
      <c r="R685" s="515"/>
      <c r="S685" s="515"/>
      <c r="T685" s="515"/>
      <c r="U685" s="515"/>
      <c r="V685" s="515"/>
      <c r="W685" s="515"/>
      <c r="X685" s="515"/>
      <c r="Y685" s="120"/>
      <c r="Z685" s="102"/>
      <c r="AA685" s="57"/>
      <c r="AB685" s="22"/>
      <c r="AC685" s="22"/>
      <c r="AD685" s="22"/>
    </row>
    <row r="686" spans="1:30" s="20" customFormat="1" ht="51" hidden="1" x14ac:dyDescent="0.2">
      <c r="A686" s="335">
        <f t="shared" si="226"/>
        <v>564</v>
      </c>
      <c r="B686" s="370" t="s">
        <v>486</v>
      </c>
      <c r="C686" s="367" t="s">
        <v>487</v>
      </c>
      <c r="D686" s="305" t="s">
        <v>422</v>
      </c>
      <c r="E686" s="305">
        <v>1016</v>
      </c>
      <c r="F686" s="305">
        <v>2</v>
      </c>
      <c r="G686" s="345">
        <f t="shared" si="221"/>
        <v>2032</v>
      </c>
      <c r="H686" s="254"/>
      <c r="I686" s="299">
        <v>8.8800000000000008</v>
      </c>
      <c r="J686" s="300">
        <v>1.9442999999999999</v>
      </c>
      <c r="K686" s="299">
        <f>ROUND(I686*J686,2)</f>
        <v>17.27</v>
      </c>
      <c r="L686" s="301">
        <f>ROUND(K686*G686,2)</f>
        <v>35092.639999999999</v>
      </c>
      <c r="M686" s="154">
        <f>ROUND(L686*0.2,2)</f>
        <v>7018.53</v>
      </c>
      <c r="N686" s="250">
        <f>ROUND(L686+M686,2)</f>
        <v>42111.17</v>
      </c>
      <c r="O686" s="515"/>
      <c r="P686" s="515"/>
      <c r="Q686" s="515"/>
      <c r="R686" s="515"/>
      <c r="S686" s="515"/>
      <c r="T686" s="515"/>
      <c r="U686" s="515"/>
      <c r="V686" s="515"/>
      <c r="W686" s="515"/>
      <c r="X686" s="515"/>
      <c r="Y686" s="120"/>
      <c r="Z686" s="102"/>
      <c r="AA686" s="57"/>
      <c r="AB686" s="22"/>
      <c r="AC686" s="22"/>
      <c r="AD686" s="22"/>
    </row>
    <row r="687" spans="1:30" s="20" customFormat="1" ht="63.75" hidden="1" x14ac:dyDescent="0.2">
      <c r="A687" s="335">
        <f t="shared" si="226"/>
        <v>565</v>
      </c>
      <c r="B687" s="220" t="s">
        <v>480</v>
      </c>
      <c r="C687" s="368" t="s">
        <v>512</v>
      </c>
      <c r="D687" s="254" t="s">
        <v>507</v>
      </c>
      <c r="E687" s="254">
        <v>7</v>
      </c>
      <c r="F687" s="254">
        <v>3</v>
      </c>
      <c r="G687" s="254">
        <f t="shared" si="221"/>
        <v>21</v>
      </c>
      <c r="H687" s="254"/>
      <c r="I687" s="299">
        <v>4248.72</v>
      </c>
      <c r="J687" s="300">
        <v>1.9442999999999999</v>
      </c>
      <c r="K687" s="299">
        <f>ROUND(I687*J687,2)</f>
        <v>8260.7900000000009</v>
      </c>
      <c r="L687" s="301">
        <f>ROUND(K687*G687,2)</f>
        <v>173476.59</v>
      </c>
      <c r="M687" s="154">
        <f>ROUND(L687*0.2,2)</f>
        <v>34695.32</v>
      </c>
      <c r="N687" s="250">
        <f>ROUND(L687+M687,2)</f>
        <v>208171.91</v>
      </c>
      <c r="O687" s="515"/>
      <c r="P687" s="515"/>
      <c r="Q687" s="515"/>
      <c r="R687" s="515"/>
      <c r="S687" s="515"/>
      <c r="T687" s="515"/>
      <c r="U687" s="515"/>
      <c r="V687" s="515"/>
      <c r="W687" s="515"/>
      <c r="X687" s="515"/>
      <c r="Y687" s="120"/>
      <c r="Z687" s="102"/>
      <c r="AA687" s="57"/>
      <c r="AB687" s="22"/>
      <c r="AC687" s="22"/>
      <c r="AD687" s="22"/>
    </row>
    <row r="688" spans="1:30" s="20" customFormat="1" ht="38.25" hidden="1" x14ac:dyDescent="0.2">
      <c r="A688" s="335">
        <f t="shared" si="226"/>
        <v>566</v>
      </c>
      <c r="B688" s="236" t="s">
        <v>480</v>
      </c>
      <c r="C688" s="367" t="s">
        <v>523</v>
      </c>
      <c r="D688" s="254" t="s">
        <v>507</v>
      </c>
      <c r="E688" s="254">
        <v>1</v>
      </c>
      <c r="F688" s="254">
        <v>92</v>
      </c>
      <c r="G688" s="254">
        <f>F688*E688</f>
        <v>92</v>
      </c>
      <c r="H688" s="254"/>
      <c r="I688" s="299">
        <v>535.76</v>
      </c>
      <c r="J688" s="308">
        <v>1</v>
      </c>
      <c r="K688" s="299">
        <f>ROUND(I688*J688,2)</f>
        <v>535.76</v>
      </c>
      <c r="L688" s="301">
        <f>ROUND(K688*G688,2)</f>
        <v>49289.919999999998</v>
      </c>
      <c r="M688" s="154">
        <f>ROUND(L688*0.2,2)</f>
        <v>9857.98</v>
      </c>
      <c r="N688" s="250">
        <f>ROUND(L688+M688,2)</f>
        <v>59147.9</v>
      </c>
      <c r="O688" s="515"/>
      <c r="P688" s="515"/>
      <c r="Q688" s="515"/>
      <c r="R688" s="515"/>
      <c r="S688" s="515"/>
      <c r="T688" s="515"/>
      <c r="U688" s="515"/>
      <c r="V688" s="515"/>
      <c r="W688" s="515"/>
      <c r="X688" s="515"/>
      <c r="Y688" s="120"/>
      <c r="Z688" s="102"/>
      <c r="AA688" s="57"/>
      <c r="AB688" s="22"/>
      <c r="AC688" s="22"/>
      <c r="AD688" s="22"/>
    </row>
    <row r="689" spans="1:34" s="20" customFormat="1" ht="25.5" hidden="1" x14ac:dyDescent="0.2">
      <c r="A689" s="335"/>
      <c r="B689" s="307"/>
      <c r="C689" s="219" t="s">
        <v>402</v>
      </c>
      <c r="D689" s="231"/>
      <c r="E689" s="231"/>
      <c r="F689" s="231"/>
      <c r="G689" s="231"/>
      <c r="H689" s="231"/>
      <c r="I689" s="231"/>
      <c r="J689" s="231"/>
      <c r="K689" s="231"/>
      <c r="L689" s="301"/>
      <c r="M689" s="154"/>
      <c r="N689" s="250"/>
      <c r="O689" s="527">
        <v>7625709.2499999991</v>
      </c>
      <c r="P689" s="73"/>
      <c r="Q689" s="73"/>
      <c r="R689" s="73"/>
      <c r="S689" s="73"/>
      <c r="T689" s="73"/>
      <c r="U689" s="73"/>
      <c r="V689" s="73"/>
      <c r="W689" s="73"/>
      <c r="X689" s="73"/>
      <c r="Y689" s="183">
        <f>SUM(N691:N702)</f>
        <v>19175.539999999997</v>
      </c>
      <c r="Z689" s="102"/>
      <c r="AA689" s="57"/>
      <c r="AB689" s="22"/>
      <c r="AC689" s="22"/>
      <c r="AD689" s="22"/>
    </row>
    <row r="690" spans="1:34" s="20" customFormat="1" ht="25.5" hidden="1" x14ac:dyDescent="0.2">
      <c r="A690" s="294"/>
      <c r="B690" s="257"/>
      <c r="C690" s="228" t="s">
        <v>36</v>
      </c>
      <c r="D690" s="325"/>
      <c r="E690" s="325"/>
      <c r="F690" s="325"/>
      <c r="G690" s="325"/>
      <c r="H690" s="371"/>
      <c r="I690" s="309"/>
      <c r="J690" s="254"/>
      <c r="K690" s="299"/>
      <c r="L690" s="301"/>
      <c r="M690" s="154"/>
      <c r="N690" s="250"/>
      <c r="O690" s="515"/>
      <c r="P690" s="515"/>
      <c r="Q690" s="515"/>
      <c r="R690" s="515"/>
      <c r="S690" s="515"/>
      <c r="T690" s="515"/>
      <c r="U690" s="515"/>
      <c r="V690" s="515"/>
      <c r="W690" s="515"/>
      <c r="X690" s="515"/>
      <c r="Y690" s="120"/>
      <c r="Z690" s="102"/>
      <c r="AA690" s="57"/>
      <c r="AB690" s="22"/>
      <c r="AC690" s="22"/>
      <c r="AD690" s="22"/>
    </row>
    <row r="691" spans="1:34" s="20" customFormat="1" ht="31.5" hidden="1" customHeight="1" x14ac:dyDescent="0.2">
      <c r="A691" s="350">
        <f>A688+1</f>
        <v>567</v>
      </c>
      <c r="B691" s="328" t="s">
        <v>353</v>
      </c>
      <c r="C691" s="302" t="s">
        <v>405</v>
      </c>
      <c r="D691" s="303" t="s">
        <v>354</v>
      </c>
      <c r="E691" s="303">
        <v>0.218</v>
      </c>
      <c r="F691" s="254">
        <v>1</v>
      </c>
      <c r="G691" s="254">
        <f t="shared" ref="G691:G701" si="227">F691*E691</f>
        <v>0.218</v>
      </c>
      <c r="H691" s="254">
        <v>279.35000000000002</v>
      </c>
      <c r="I691" s="309">
        <f t="shared" ref="I691:I702" si="228">H691/1.2</f>
        <v>232.79166666666669</v>
      </c>
      <c r="J691" s="254">
        <v>13.011799999999999</v>
      </c>
      <c r="K691" s="299">
        <f t="shared" ref="K691:K702" si="229">J691*I691</f>
        <v>3029.0386083333333</v>
      </c>
      <c r="L691" s="301">
        <f t="shared" ref="L691:L702" si="230">ROUND(K691*G691,2)</f>
        <v>660.33</v>
      </c>
      <c r="M691" s="154">
        <f t="shared" ref="M691:M702" si="231">ROUND(L691*0.2,2)</f>
        <v>132.07</v>
      </c>
      <c r="N691" s="250">
        <f t="shared" si="211"/>
        <v>792.4</v>
      </c>
      <c r="O691" s="517"/>
      <c r="P691" s="517"/>
      <c r="Q691" s="517"/>
      <c r="R691" s="517"/>
      <c r="S691" s="517"/>
      <c r="T691" s="517"/>
      <c r="U691" s="517"/>
      <c r="V691" s="517"/>
      <c r="W691" s="517"/>
      <c r="X691" s="517"/>
      <c r="Y691" s="122"/>
      <c r="Z691" s="76"/>
      <c r="AF691" s="91" t="s">
        <v>419</v>
      </c>
      <c r="AG691" s="9" t="s">
        <v>449</v>
      </c>
      <c r="AH691" s="92" t="s">
        <v>449</v>
      </c>
    </row>
    <row r="692" spans="1:34" s="20" customFormat="1" ht="41.25" hidden="1" customHeight="1" x14ac:dyDescent="0.2">
      <c r="A692" s="350">
        <f t="shared" ref="A692:A702" si="232">A691+1</f>
        <v>568</v>
      </c>
      <c r="B692" s="328" t="s">
        <v>352</v>
      </c>
      <c r="C692" s="302" t="s">
        <v>356</v>
      </c>
      <c r="D692" s="330" t="s">
        <v>355</v>
      </c>
      <c r="E692" s="300">
        <v>1.4170000000000002E-2</v>
      </c>
      <c r="F692" s="254">
        <v>1</v>
      </c>
      <c r="G692" s="300">
        <f t="shared" si="227"/>
        <v>1.4170000000000002E-2</v>
      </c>
      <c r="H692" s="254">
        <v>19696.099999999999</v>
      </c>
      <c r="I692" s="309">
        <f t="shared" si="228"/>
        <v>16413.416666666668</v>
      </c>
      <c r="J692" s="254">
        <v>13.011799999999999</v>
      </c>
      <c r="K692" s="299">
        <f t="shared" si="229"/>
        <v>213568.09498333334</v>
      </c>
      <c r="L692" s="301">
        <f t="shared" si="230"/>
        <v>3026.26</v>
      </c>
      <c r="M692" s="154">
        <f t="shared" si="231"/>
        <v>605.25</v>
      </c>
      <c r="N692" s="250">
        <f t="shared" si="211"/>
        <v>3631.51</v>
      </c>
      <c r="O692" s="515"/>
      <c r="P692" s="515"/>
      <c r="Q692" s="515"/>
      <c r="R692" s="515"/>
      <c r="S692" s="515"/>
      <c r="T692" s="515"/>
      <c r="U692" s="515"/>
      <c r="V692" s="515"/>
      <c r="W692" s="515"/>
      <c r="X692" s="515"/>
      <c r="Y692" s="120"/>
      <c r="Z692" s="113"/>
      <c r="AA692" s="86">
        <v>665531.02</v>
      </c>
      <c r="AB692" s="22"/>
      <c r="AC692" s="22"/>
      <c r="AD692" s="22"/>
    </row>
    <row r="693" spans="1:34" s="20" customFormat="1" ht="23.25" hidden="1" customHeight="1" x14ac:dyDescent="0.2">
      <c r="A693" s="350">
        <f t="shared" si="232"/>
        <v>569</v>
      </c>
      <c r="B693" s="328" t="s">
        <v>347</v>
      </c>
      <c r="C693" s="302" t="s">
        <v>357</v>
      </c>
      <c r="D693" s="303" t="s">
        <v>355</v>
      </c>
      <c r="E693" s="300">
        <v>5.45E-3</v>
      </c>
      <c r="F693" s="254">
        <v>1</v>
      </c>
      <c r="G693" s="254">
        <f t="shared" si="227"/>
        <v>5.45E-3</v>
      </c>
      <c r="H693" s="254">
        <v>437.82</v>
      </c>
      <c r="I693" s="309">
        <f t="shared" si="228"/>
        <v>364.85</v>
      </c>
      <c r="J693" s="254">
        <v>13.011799999999999</v>
      </c>
      <c r="K693" s="299">
        <f t="shared" si="229"/>
        <v>4747.3552300000001</v>
      </c>
      <c r="L693" s="301">
        <f t="shared" si="230"/>
        <v>25.87</v>
      </c>
      <c r="M693" s="154">
        <f t="shared" si="231"/>
        <v>5.17</v>
      </c>
      <c r="N693" s="250">
        <f t="shared" si="211"/>
        <v>31.04</v>
      </c>
      <c r="O693" s="515"/>
      <c r="P693" s="515"/>
      <c r="Q693" s="515"/>
      <c r="R693" s="515"/>
      <c r="S693" s="515"/>
      <c r="T693" s="515"/>
      <c r="U693" s="515"/>
      <c r="V693" s="515"/>
      <c r="W693" s="515"/>
      <c r="X693" s="515"/>
      <c r="Y693" s="120"/>
      <c r="Z693" s="102">
        <v>766.92274105000013</v>
      </c>
      <c r="AA693" s="43">
        <v>1343.83</v>
      </c>
      <c r="AB693" s="22"/>
      <c r="AC693" s="22"/>
      <c r="AD693" s="22"/>
    </row>
    <row r="694" spans="1:34" s="20" customFormat="1" ht="165.75" hidden="1" x14ac:dyDescent="0.2">
      <c r="A694" s="350">
        <f t="shared" si="232"/>
        <v>570</v>
      </c>
      <c r="B694" s="328" t="s">
        <v>348</v>
      </c>
      <c r="C694" s="302" t="s">
        <v>393</v>
      </c>
      <c r="D694" s="303" t="s">
        <v>354</v>
      </c>
      <c r="E694" s="303">
        <v>0.72599999999999998</v>
      </c>
      <c r="F694" s="254">
        <v>1</v>
      </c>
      <c r="G694" s="254">
        <f t="shared" si="227"/>
        <v>0.72599999999999998</v>
      </c>
      <c r="H694" s="254">
        <v>279.35000000000002</v>
      </c>
      <c r="I694" s="309">
        <f t="shared" si="228"/>
        <v>232.79166666666669</v>
      </c>
      <c r="J694" s="254">
        <v>13.011799999999999</v>
      </c>
      <c r="K694" s="299">
        <f t="shared" si="229"/>
        <v>3029.0386083333333</v>
      </c>
      <c r="L694" s="301">
        <f t="shared" si="230"/>
        <v>2199.08</v>
      </c>
      <c r="M694" s="154">
        <f t="shared" si="231"/>
        <v>439.82</v>
      </c>
      <c r="N694" s="250">
        <f t="shared" si="211"/>
        <v>2638.9</v>
      </c>
      <c r="O694" s="515"/>
      <c r="P694" s="515"/>
      <c r="Q694" s="515"/>
      <c r="R694" s="515"/>
      <c r="S694" s="515"/>
      <c r="T694" s="515"/>
      <c r="U694" s="515"/>
      <c r="V694" s="515"/>
      <c r="W694" s="515"/>
      <c r="X694" s="515"/>
      <c r="Y694" s="120"/>
      <c r="Z694" s="102">
        <v>3514.7669769095014</v>
      </c>
      <c r="AA694" s="43">
        <v>6158.71</v>
      </c>
      <c r="AB694" s="26"/>
      <c r="AC694" s="26"/>
      <c r="AD694" s="26"/>
    </row>
    <row r="695" spans="1:34" s="20" customFormat="1" ht="178.5" hidden="1" x14ac:dyDescent="0.2">
      <c r="A695" s="350">
        <f t="shared" si="232"/>
        <v>571</v>
      </c>
      <c r="B695" s="328" t="s">
        <v>349</v>
      </c>
      <c r="C695" s="302" t="s">
        <v>356</v>
      </c>
      <c r="D695" s="330" t="s">
        <v>355</v>
      </c>
      <c r="E695" s="300">
        <v>1.1797499999999999E-2</v>
      </c>
      <c r="F695" s="254">
        <v>1</v>
      </c>
      <c r="G695" s="300">
        <f t="shared" si="227"/>
        <v>1.1797499999999999E-2</v>
      </c>
      <c r="H695" s="254">
        <v>19696.099999999999</v>
      </c>
      <c r="I695" s="309">
        <f t="shared" si="228"/>
        <v>16413.416666666668</v>
      </c>
      <c r="J695" s="254">
        <v>13.011799999999999</v>
      </c>
      <c r="K695" s="299">
        <f t="shared" si="229"/>
        <v>213568.09498333334</v>
      </c>
      <c r="L695" s="301">
        <f t="shared" si="230"/>
        <v>2519.5700000000002</v>
      </c>
      <c r="M695" s="154">
        <f t="shared" si="231"/>
        <v>503.91</v>
      </c>
      <c r="N695" s="250">
        <f t="shared" si="211"/>
        <v>3023.48</v>
      </c>
      <c r="O695" s="515"/>
      <c r="P695" s="515"/>
      <c r="Q695" s="515"/>
      <c r="R695" s="515"/>
      <c r="S695" s="515"/>
      <c r="T695" s="515"/>
      <c r="U695" s="515"/>
      <c r="V695" s="515"/>
      <c r="W695" s="515"/>
      <c r="X695" s="515"/>
      <c r="Y695" s="120"/>
      <c r="Z695" s="102">
        <v>30.049589626500001</v>
      </c>
      <c r="AA695" s="43">
        <v>52.65</v>
      </c>
      <c r="AB695" s="26"/>
      <c r="AC695" s="26"/>
      <c r="AD695" s="26"/>
    </row>
    <row r="696" spans="1:34" s="20" customFormat="1" ht="178.5" hidden="1" x14ac:dyDescent="0.2">
      <c r="A696" s="350">
        <f t="shared" si="232"/>
        <v>572</v>
      </c>
      <c r="B696" s="328" t="s">
        <v>347</v>
      </c>
      <c r="C696" s="302" t="s">
        <v>357</v>
      </c>
      <c r="D696" s="303" t="s">
        <v>355</v>
      </c>
      <c r="E696" s="300">
        <v>4.5374999999999999E-3</v>
      </c>
      <c r="F696" s="254">
        <v>1</v>
      </c>
      <c r="G696" s="300">
        <f t="shared" si="227"/>
        <v>4.5374999999999999E-3</v>
      </c>
      <c r="H696" s="254">
        <v>437.82</v>
      </c>
      <c r="I696" s="309">
        <f t="shared" si="228"/>
        <v>364.85</v>
      </c>
      <c r="J696" s="254">
        <v>13.011799999999999</v>
      </c>
      <c r="K696" s="299">
        <f t="shared" si="229"/>
        <v>4747.3552300000001</v>
      </c>
      <c r="L696" s="301">
        <f t="shared" si="230"/>
        <v>21.54</v>
      </c>
      <c r="M696" s="154">
        <f t="shared" si="231"/>
        <v>4.3099999999999996</v>
      </c>
      <c r="N696" s="250">
        <f t="shared" si="211"/>
        <v>25.85</v>
      </c>
      <c r="O696" s="515"/>
      <c r="P696" s="515"/>
      <c r="Q696" s="515"/>
      <c r="R696" s="515"/>
      <c r="S696" s="515"/>
      <c r="T696" s="515"/>
      <c r="U696" s="515"/>
      <c r="V696" s="515"/>
      <c r="W696" s="515"/>
      <c r="X696" s="515"/>
      <c r="Y696" s="120"/>
      <c r="Z696" s="102">
        <v>2554.0638073500004</v>
      </c>
      <c r="AA696" s="43">
        <v>4475.33</v>
      </c>
      <c r="AB696" s="26"/>
      <c r="AC696" s="26"/>
      <c r="AD696" s="26"/>
    </row>
    <row r="697" spans="1:34" s="20" customFormat="1" ht="178.5" hidden="1" x14ac:dyDescent="0.2">
      <c r="A697" s="350">
        <f t="shared" si="232"/>
        <v>573</v>
      </c>
      <c r="B697" s="328" t="s">
        <v>350</v>
      </c>
      <c r="C697" s="302" t="s">
        <v>346</v>
      </c>
      <c r="D697" s="303" t="s">
        <v>354</v>
      </c>
      <c r="E697" s="303">
        <v>0.5</v>
      </c>
      <c r="F697" s="254">
        <v>1</v>
      </c>
      <c r="G697" s="254">
        <f t="shared" si="227"/>
        <v>0.5</v>
      </c>
      <c r="H697" s="254">
        <v>279.35000000000002</v>
      </c>
      <c r="I697" s="309">
        <f t="shared" si="228"/>
        <v>232.79166666666669</v>
      </c>
      <c r="J697" s="254">
        <v>13.011799999999999</v>
      </c>
      <c r="K697" s="299">
        <f t="shared" si="229"/>
        <v>3029.0386083333333</v>
      </c>
      <c r="L697" s="301">
        <f t="shared" si="230"/>
        <v>1514.52</v>
      </c>
      <c r="M697" s="154">
        <f t="shared" si="231"/>
        <v>302.89999999999998</v>
      </c>
      <c r="N697" s="250">
        <f t="shared" si="211"/>
        <v>1817.42</v>
      </c>
      <c r="O697" s="515"/>
      <c r="P697" s="515"/>
      <c r="Q697" s="515"/>
      <c r="R697" s="515"/>
      <c r="S697" s="515"/>
      <c r="T697" s="515"/>
      <c r="U697" s="515"/>
      <c r="V697" s="515"/>
      <c r="W697" s="515"/>
      <c r="X697" s="515"/>
      <c r="Y697" s="120"/>
      <c r="Z697" s="102">
        <v>2926.285350041625</v>
      </c>
      <c r="AA697" s="43">
        <v>5127.55</v>
      </c>
      <c r="AB697" s="26"/>
      <c r="AC697" s="26"/>
      <c r="AD697" s="29"/>
    </row>
    <row r="698" spans="1:34" s="20" customFormat="1" ht="178.5" hidden="1" x14ac:dyDescent="0.2">
      <c r="A698" s="350">
        <f t="shared" si="232"/>
        <v>574</v>
      </c>
      <c r="B698" s="328" t="s">
        <v>349</v>
      </c>
      <c r="C698" s="302" t="s">
        <v>344</v>
      </c>
      <c r="D698" s="330" t="s">
        <v>355</v>
      </c>
      <c r="E698" s="300">
        <v>2.4375000000000001E-2</v>
      </c>
      <c r="F698" s="254">
        <v>1</v>
      </c>
      <c r="G698" s="300">
        <f t="shared" si="227"/>
        <v>2.4375000000000001E-2</v>
      </c>
      <c r="H698" s="254">
        <v>19696.099999999999</v>
      </c>
      <c r="I698" s="309">
        <f t="shared" si="228"/>
        <v>16413.416666666668</v>
      </c>
      <c r="J698" s="254">
        <v>13.011799999999999</v>
      </c>
      <c r="K698" s="299">
        <f t="shared" si="229"/>
        <v>213568.09498333334</v>
      </c>
      <c r="L698" s="301">
        <f t="shared" si="230"/>
        <v>5205.72</v>
      </c>
      <c r="M698" s="154">
        <f t="shared" si="231"/>
        <v>1041.1400000000001</v>
      </c>
      <c r="N698" s="250">
        <f t="shared" si="211"/>
        <v>6246.86</v>
      </c>
      <c r="O698" s="515"/>
      <c r="P698" s="515"/>
      <c r="Q698" s="515"/>
      <c r="R698" s="515"/>
      <c r="S698" s="515"/>
      <c r="T698" s="515"/>
      <c r="U698" s="515"/>
      <c r="V698" s="515"/>
      <c r="W698" s="515"/>
      <c r="X698" s="515"/>
      <c r="Y698" s="120"/>
      <c r="Z698" s="102">
        <v>25.018350996374998</v>
      </c>
      <c r="AA698" s="43">
        <v>43.84</v>
      </c>
      <c r="AB698" s="26"/>
      <c r="AC698" s="26"/>
      <c r="AD698" s="26"/>
    </row>
    <row r="699" spans="1:34" s="20" customFormat="1" ht="178.5" hidden="1" x14ac:dyDescent="0.2">
      <c r="A699" s="350">
        <f t="shared" si="232"/>
        <v>575</v>
      </c>
      <c r="B699" s="328" t="s">
        <v>347</v>
      </c>
      <c r="C699" s="302" t="s">
        <v>359</v>
      </c>
      <c r="D699" s="303" t="s">
        <v>355</v>
      </c>
      <c r="E699" s="300">
        <v>9.3749999999999997E-3</v>
      </c>
      <c r="F699" s="254">
        <v>1</v>
      </c>
      <c r="G699" s="300">
        <f t="shared" si="227"/>
        <v>9.3749999999999997E-3</v>
      </c>
      <c r="H699" s="254">
        <v>437.82</v>
      </c>
      <c r="I699" s="309">
        <f t="shared" si="228"/>
        <v>364.85</v>
      </c>
      <c r="J699" s="254">
        <v>13.011799999999999</v>
      </c>
      <c r="K699" s="299">
        <f t="shared" si="229"/>
        <v>4747.3552300000001</v>
      </c>
      <c r="L699" s="301">
        <f t="shared" si="230"/>
        <v>44.51</v>
      </c>
      <c r="M699" s="154">
        <f t="shared" si="231"/>
        <v>8.9</v>
      </c>
      <c r="N699" s="250">
        <f t="shared" si="211"/>
        <v>53.41</v>
      </c>
      <c r="O699" s="515"/>
      <c r="P699" s="515"/>
      <c r="Q699" s="515"/>
      <c r="R699" s="515"/>
      <c r="S699" s="515"/>
      <c r="T699" s="515"/>
      <c r="U699" s="515"/>
      <c r="V699" s="515"/>
      <c r="W699" s="515"/>
      <c r="X699" s="515"/>
      <c r="Y699" s="120"/>
      <c r="Z699" s="102">
        <v>1758.9971125000002</v>
      </c>
      <c r="AA699" s="43">
        <v>3082.18</v>
      </c>
      <c r="AB699" s="30"/>
      <c r="AC699" s="26"/>
      <c r="AD699" s="26"/>
    </row>
    <row r="700" spans="1:34" s="20" customFormat="1" ht="81.75" hidden="1" customHeight="1" x14ac:dyDescent="0.2">
      <c r="A700" s="350">
        <f t="shared" si="232"/>
        <v>576</v>
      </c>
      <c r="B700" s="328" t="s">
        <v>351</v>
      </c>
      <c r="C700" s="302" t="s">
        <v>360</v>
      </c>
      <c r="D700" s="303" t="s">
        <v>354</v>
      </c>
      <c r="E700" s="303">
        <v>7.5999999999999998E-2</v>
      </c>
      <c r="F700" s="254">
        <v>1</v>
      </c>
      <c r="G700" s="254">
        <f t="shared" si="227"/>
        <v>7.5999999999999998E-2</v>
      </c>
      <c r="H700" s="254">
        <v>279.35000000000002</v>
      </c>
      <c r="I700" s="309">
        <f t="shared" si="228"/>
        <v>232.79166666666669</v>
      </c>
      <c r="J700" s="254">
        <v>13.011799999999999</v>
      </c>
      <c r="K700" s="299">
        <f t="shared" si="229"/>
        <v>3029.0386083333333</v>
      </c>
      <c r="L700" s="301">
        <f t="shared" si="230"/>
        <v>230.21</v>
      </c>
      <c r="M700" s="154">
        <f t="shared" si="231"/>
        <v>46.04</v>
      </c>
      <c r="N700" s="250">
        <f t="shared" si="211"/>
        <v>276.25</v>
      </c>
      <c r="O700" s="515"/>
      <c r="P700" s="515"/>
      <c r="Q700" s="515"/>
      <c r="R700" s="515"/>
      <c r="S700" s="515"/>
      <c r="T700" s="515"/>
      <c r="U700" s="515"/>
      <c r="V700" s="515"/>
      <c r="W700" s="515"/>
      <c r="X700" s="515"/>
      <c r="Y700" s="120"/>
      <c r="Z700" s="102">
        <v>6046.0441116562506</v>
      </c>
      <c r="AA700" s="43">
        <v>10594.1</v>
      </c>
      <c r="AB700" s="26"/>
      <c r="AC700" s="26"/>
      <c r="AD700" s="29"/>
    </row>
    <row r="701" spans="1:34" s="20" customFormat="1" ht="178.5" hidden="1" x14ac:dyDescent="0.2">
      <c r="A701" s="350">
        <f t="shared" si="232"/>
        <v>577</v>
      </c>
      <c r="B701" s="328" t="s">
        <v>349</v>
      </c>
      <c r="C701" s="302" t="s">
        <v>356</v>
      </c>
      <c r="D701" s="330" t="s">
        <v>355</v>
      </c>
      <c r="E701" s="300">
        <v>2.4699999999999995E-3</v>
      </c>
      <c r="F701" s="254">
        <v>1</v>
      </c>
      <c r="G701" s="254">
        <f t="shared" si="227"/>
        <v>2.4699999999999995E-3</v>
      </c>
      <c r="H701" s="254">
        <v>19696.099999999999</v>
      </c>
      <c r="I701" s="309">
        <f t="shared" si="228"/>
        <v>16413.416666666668</v>
      </c>
      <c r="J701" s="254">
        <v>13.011799999999999</v>
      </c>
      <c r="K701" s="299">
        <f t="shared" si="229"/>
        <v>213568.09498333334</v>
      </c>
      <c r="L701" s="301">
        <f t="shared" si="230"/>
        <v>527.51</v>
      </c>
      <c r="M701" s="154">
        <f t="shared" si="231"/>
        <v>105.5</v>
      </c>
      <c r="N701" s="250">
        <f t="shared" si="211"/>
        <v>633.01</v>
      </c>
      <c r="O701" s="515"/>
      <c r="P701" s="515"/>
      <c r="Q701" s="515"/>
      <c r="R701" s="515"/>
      <c r="S701" s="515"/>
      <c r="T701" s="515"/>
      <c r="U701" s="515"/>
      <c r="V701" s="515"/>
      <c r="W701" s="515"/>
      <c r="X701" s="515"/>
      <c r="Y701" s="120"/>
      <c r="Z701" s="102">
        <v>51.690807843750001</v>
      </c>
      <c r="AA701" s="43">
        <v>90.57</v>
      </c>
      <c r="AB701" s="29"/>
      <c r="AC701" s="26"/>
      <c r="AD701" s="26"/>
    </row>
    <row r="702" spans="1:34" s="20" customFormat="1" ht="66" hidden="1" customHeight="1" x14ac:dyDescent="0.2">
      <c r="A702" s="350">
        <f t="shared" si="232"/>
        <v>578</v>
      </c>
      <c r="B702" s="328" t="s">
        <v>347</v>
      </c>
      <c r="C702" s="302" t="s">
        <v>357</v>
      </c>
      <c r="D702" s="303" t="s">
        <v>355</v>
      </c>
      <c r="E702" s="300">
        <v>9.5E-4</v>
      </c>
      <c r="F702" s="254">
        <v>1</v>
      </c>
      <c r="G702" s="254">
        <f>F702*E702</f>
        <v>9.5E-4</v>
      </c>
      <c r="H702" s="254">
        <v>437.82</v>
      </c>
      <c r="I702" s="309">
        <f t="shared" si="228"/>
        <v>364.85</v>
      </c>
      <c r="J702" s="254">
        <v>13.011799999999999</v>
      </c>
      <c r="K702" s="299">
        <f t="shared" si="229"/>
        <v>4747.3552300000001</v>
      </c>
      <c r="L702" s="301">
        <f t="shared" si="230"/>
        <v>4.51</v>
      </c>
      <c r="M702" s="154">
        <f t="shared" si="231"/>
        <v>0.9</v>
      </c>
      <c r="N702" s="250">
        <f>ROUND(L702+M702,2)</f>
        <v>5.41</v>
      </c>
      <c r="O702" s="515"/>
      <c r="P702" s="515"/>
      <c r="Q702" s="515"/>
      <c r="R702" s="515"/>
      <c r="S702" s="515"/>
      <c r="T702" s="515"/>
      <c r="U702" s="515"/>
      <c r="V702" s="515"/>
      <c r="W702" s="515"/>
      <c r="X702" s="515"/>
      <c r="Y702" s="120"/>
      <c r="Z702" s="102">
        <v>267.36756110000005</v>
      </c>
      <c r="AA702" s="43">
        <v>468.49</v>
      </c>
      <c r="AB702" s="26"/>
      <c r="AC702" s="26"/>
      <c r="AD702" s="26"/>
    </row>
    <row r="703" spans="1:34" s="20" customFormat="1" ht="33.75" hidden="1" customHeight="1" x14ac:dyDescent="0.2">
      <c r="A703" s="350"/>
      <c r="B703" s="328"/>
      <c r="C703" s="302"/>
      <c r="D703" s="303"/>
      <c r="E703" s="300"/>
      <c r="F703" s="254"/>
      <c r="G703" s="254"/>
      <c r="H703" s="254"/>
      <c r="I703" s="309"/>
      <c r="J703" s="254"/>
      <c r="K703" s="299"/>
      <c r="L703" s="301"/>
      <c r="M703" s="154"/>
      <c r="N703" s="250"/>
      <c r="O703" s="545">
        <v>19175.539999999997</v>
      </c>
      <c r="P703" s="515"/>
      <c r="Q703" s="515"/>
      <c r="R703" s="515"/>
      <c r="S703" s="515"/>
      <c r="T703" s="515"/>
      <c r="U703" s="515"/>
      <c r="V703" s="515"/>
      <c r="W703" s="515"/>
      <c r="X703" s="515"/>
      <c r="Y703" s="120"/>
      <c r="Z703" s="102"/>
      <c r="AA703" s="43"/>
      <c r="AB703" s="26"/>
      <c r="AC703" s="26"/>
      <c r="AD703" s="26"/>
    </row>
    <row r="704" spans="1:34" s="20" customFormat="1" ht="25.5" hidden="1" x14ac:dyDescent="0.2">
      <c r="A704" s="350"/>
      <c r="B704" s="372"/>
      <c r="C704" s="237" t="s">
        <v>453</v>
      </c>
      <c r="D704" s="240"/>
      <c r="E704" s="239"/>
      <c r="F704" s="239"/>
      <c r="G704" s="260"/>
      <c r="H704" s="239"/>
      <c r="I704" s="239"/>
      <c r="J704" s="239"/>
      <c r="K704" s="239"/>
      <c r="L704" s="260">
        <f>SUM(L630:L702)-0.02</f>
        <v>9705355.6799999978</v>
      </c>
      <c r="M704" s="260">
        <f>ROUND(L704*0.2,2)-0.009</f>
        <v>1941071.1309999998</v>
      </c>
      <c r="N704" s="268">
        <f>L704+M704</f>
        <v>11646426.810999997</v>
      </c>
      <c r="O704" s="518"/>
      <c r="P704" s="518"/>
      <c r="Q704" s="518"/>
      <c r="R704" s="518"/>
      <c r="S704" s="518"/>
      <c r="T704" s="518"/>
      <c r="U704" s="518"/>
      <c r="V704" s="518"/>
      <c r="W704" s="518"/>
      <c r="X704" s="518"/>
      <c r="Y704" s="120"/>
      <c r="Z704" s="102">
        <v>612.66580331449995</v>
      </c>
      <c r="AA704" s="43">
        <v>1073.54</v>
      </c>
      <c r="AB704" s="26"/>
      <c r="AC704" s="26"/>
      <c r="AD704" s="29"/>
    </row>
    <row r="705" spans="1:30" s="185" customFormat="1" ht="12.75" hidden="1" x14ac:dyDescent="0.2">
      <c r="A705" s="335"/>
      <c r="B705" s="285"/>
      <c r="C705" s="269" t="s">
        <v>284</v>
      </c>
      <c r="D705" s="284"/>
      <c r="E705" s="286"/>
      <c r="F705" s="286"/>
      <c r="G705" s="286"/>
      <c r="H705" s="286"/>
      <c r="I705" s="286"/>
      <c r="J705" s="336"/>
      <c r="K705" s="336"/>
      <c r="L705" s="337"/>
      <c r="M705" s="373"/>
      <c r="N705" s="288"/>
      <c r="O705" s="519"/>
      <c r="P705" s="519"/>
      <c r="Q705" s="519"/>
      <c r="R705" s="519"/>
      <c r="S705" s="519"/>
      <c r="T705" s="519"/>
      <c r="U705" s="519"/>
      <c r="V705" s="519"/>
      <c r="W705" s="519"/>
      <c r="X705" s="519"/>
      <c r="Y705" s="189"/>
      <c r="Z705" s="102"/>
      <c r="AA705" s="43"/>
      <c r="AB705" s="187"/>
      <c r="AD705" s="188"/>
    </row>
    <row r="706" spans="1:30" s="20" customFormat="1" ht="25.5" hidden="1" x14ac:dyDescent="0.2">
      <c r="A706" s="335"/>
      <c r="B706" s="235"/>
      <c r="C706" s="207" t="s">
        <v>285</v>
      </c>
      <c r="D706" s="168"/>
      <c r="E706" s="168"/>
      <c r="F706" s="168"/>
      <c r="G706" s="168"/>
      <c r="H706" s="168"/>
      <c r="I706" s="168"/>
      <c r="J706" s="168"/>
      <c r="K706" s="168"/>
      <c r="L706" s="340"/>
      <c r="M706" s="341"/>
      <c r="N706" s="170"/>
      <c r="O706" s="520"/>
      <c r="P706" s="520"/>
      <c r="Q706" s="520"/>
      <c r="R706" s="520"/>
      <c r="S706" s="520"/>
      <c r="T706" s="520"/>
      <c r="U706" s="520"/>
      <c r="V706" s="520"/>
      <c r="W706" s="520"/>
      <c r="X706" s="520"/>
      <c r="Y706" s="123">
        <f>Y708+Y710</f>
        <v>18199889.27</v>
      </c>
      <c r="Z706" s="106">
        <v>5754177.9958757712</v>
      </c>
      <c r="AA706" s="43">
        <v>15014530.400000002</v>
      </c>
      <c r="AB706" s="31"/>
      <c r="AC706" s="22"/>
      <c r="AD706" s="32"/>
    </row>
    <row r="707" spans="1:30" s="20" customFormat="1" ht="25.5" hidden="1" x14ac:dyDescent="0.2">
      <c r="A707" s="335"/>
      <c r="B707" s="307"/>
      <c r="C707" s="207" t="s">
        <v>147</v>
      </c>
      <c r="D707" s="292"/>
      <c r="E707" s="170"/>
      <c r="F707" s="282"/>
      <c r="G707" s="167"/>
      <c r="H707" s="293"/>
      <c r="I707" s="293"/>
      <c r="J707" s="293"/>
      <c r="K707" s="293"/>
      <c r="L707" s="167"/>
      <c r="M707" s="171"/>
      <c r="N707" s="177"/>
      <c r="O707" s="177" t="s">
        <v>408</v>
      </c>
      <c r="P707" s="177" t="s">
        <v>409</v>
      </c>
      <c r="Q707" s="177" t="s">
        <v>74</v>
      </c>
      <c r="R707" s="177" t="s">
        <v>75</v>
      </c>
      <c r="S707" s="553">
        <f>S708-R708</f>
        <v>12688794.715</v>
      </c>
      <c r="T707" s="253"/>
      <c r="U707" s="253"/>
      <c r="V707" s="253"/>
      <c r="W707" s="253"/>
      <c r="X707" s="253"/>
      <c r="Y707" s="124" t="s">
        <v>541</v>
      </c>
      <c r="Z707" s="194">
        <f>SUM(N708:N750)</f>
        <v>4486527.75</v>
      </c>
      <c r="AA707" s="18"/>
      <c r="AB707" s="22"/>
      <c r="AC707" s="22"/>
      <c r="AD707" s="22"/>
    </row>
    <row r="708" spans="1:30" s="20" customFormat="1" ht="51" hidden="1" x14ac:dyDescent="0.2">
      <c r="A708" s="335">
        <f>A702+1</f>
        <v>579</v>
      </c>
      <c r="B708" s="257" t="s">
        <v>456</v>
      </c>
      <c r="C708" s="365" t="s">
        <v>457</v>
      </c>
      <c r="D708" s="318" t="s">
        <v>519</v>
      </c>
      <c r="E708" s="354">
        <v>100</v>
      </c>
      <c r="F708" s="355">
        <v>1</v>
      </c>
      <c r="G708" s="254">
        <f>ROUND(E708*F708,2)</f>
        <v>100</v>
      </c>
      <c r="H708" s="298"/>
      <c r="I708" s="299">
        <v>8.66</v>
      </c>
      <c r="J708" s="300">
        <v>1.9442999999999999</v>
      </c>
      <c r="K708" s="299">
        <f>ROUND(I708*J708,2)</f>
        <v>16.84</v>
      </c>
      <c r="L708" s="301">
        <f>ROUND(K708*G708,2)</f>
        <v>1684</v>
      </c>
      <c r="M708" s="154">
        <f>ROUND(L708*0.2,2)</f>
        <v>336.8</v>
      </c>
      <c r="N708" s="250">
        <f t="shared" ref="N708:N718" si="233">ROUND(L708+M708,2)</f>
        <v>2020.8</v>
      </c>
      <c r="O708" s="546">
        <f>O751</f>
        <v>4486527.75</v>
      </c>
      <c r="P708" s="547">
        <f>O774+Q710</f>
        <v>7621913.7150000008</v>
      </c>
      <c r="Q708" s="548">
        <f>O845</f>
        <v>580353.25</v>
      </c>
      <c r="R708" s="549">
        <f>O887</f>
        <v>127123.28</v>
      </c>
      <c r="S708" s="517">
        <f>O708+P708+Q708+R708</f>
        <v>12815917.994999999</v>
      </c>
      <c r="T708" s="517"/>
      <c r="U708" s="517"/>
      <c r="V708" s="517"/>
      <c r="W708" s="517"/>
      <c r="X708" s="517"/>
      <c r="Y708" s="163">
        <f>5098328.37+Y778+Y795+Y812+Y829+Y888+Z713</f>
        <v>5543141.3899999997</v>
      </c>
      <c r="Z708" s="114"/>
      <c r="AA708" s="18"/>
      <c r="AB708" s="19"/>
      <c r="AC708" s="19"/>
      <c r="AD708" s="19"/>
    </row>
    <row r="709" spans="1:30" s="20" customFormat="1" ht="111" hidden="1" customHeight="1" x14ac:dyDescent="0.2">
      <c r="A709" s="335">
        <f>A708+1</f>
        <v>580</v>
      </c>
      <c r="B709" s="257" t="s">
        <v>458</v>
      </c>
      <c r="C709" s="365" t="s">
        <v>459</v>
      </c>
      <c r="D709" s="318" t="s">
        <v>513</v>
      </c>
      <c r="E709" s="354">
        <v>1</v>
      </c>
      <c r="F709" s="355">
        <v>1</v>
      </c>
      <c r="G709" s="254">
        <f>ROUND(E709*F709,2)</f>
        <v>1</v>
      </c>
      <c r="H709" s="298"/>
      <c r="I709" s="299">
        <v>55423.41</v>
      </c>
      <c r="J709" s="300">
        <v>1.9442999999999999</v>
      </c>
      <c r="K709" s="299">
        <f>ROUND(I709*J709,2)</f>
        <v>107759.74</v>
      </c>
      <c r="L709" s="301">
        <f>ROUND(K709*G709,2)</f>
        <v>107759.74</v>
      </c>
      <c r="M709" s="154">
        <f>ROUND(L709*0.2,2)</f>
        <v>21551.95</v>
      </c>
      <c r="N709" s="250">
        <f t="shared" si="233"/>
        <v>129311.69</v>
      </c>
      <c r="O709" s="250">
        <f>O708+R708+Q709</f>
        <v>4903827.6550000003</v>
      </c>
      <c r="P709" s="250"/>
      <c r="Q709" s="250">
        <f>Q708/2</f>
        <v>290176.625</v>
      </c>
      <c r="R709" s="250"/>
      <c r="S709" s="517">
        <f>O709+P708</f>
        <v>12525741.370000001</v>
      </c>
      <c r="T709" s="517"/>
      <c r="U709" s="517"/>
      <c r="V709" s="517"/>
      <c r="W709" s="517"/>
      <c r="X709" s="517"/>
      <c r="Y709" s="125" t="s">
        <v>542</v>
      </c>
      <c r="Z709" s="115"/>
      <c r="AA709" s="18"/>
      <c r="AB709" s="60"/>
      <c r="AC709" s="60"/>
      <c r="AD709" s="60"/>
    </row>
    <row r="710" spans="1:30" s="20" customFormat="1" ht="51" hidden="1" x14ac:dyDescent="0.2">
      <c r="A710" s="335">
        <f>A709+1</f>
        <v>581</v>
      </c>
      <c r="B710" s="257" t="s">
        <v>460</v>
      </c>
      <c r="C710" s="365" t="s">
        <v>461</v>
      </c>
      <c r="D710" s="318" t="s">
        <v>513</v>
      </c>
      <c r="E710" s="354">
        <v>1</v>
      </c>
      <c r="F710" s="355">
        <v>1</v>
      </c>
      <c r="G710" s="254">
        <f>ROUND(E710*F710,2)</f>
        <v>1</v>
      </c>
      <c r="H710" s="298"/>
      <c r="I710" s="299">
        <v>1959.47</v>
      </c>
      <c r="J710" s="300">
        <v>1.9442999999999999</v>
      </c>
      <c r="K710" s="299">
        <f>ROUND(I710*J710,2)</f>
        <v>3809.8</v>
      </c>
      <c r="L710" s="301">
        <f>ROUND(K710*G710,2)</f>
        <v>3809.8</v>
      </c>
      <c r="M710" s="154">
        <f>ROUND(L710*0.2,2)</f>
        <v>761.96</v>
      </c>
      <c r="N710" s="250">
        <f t="shared" si="233"/>
        <v>4571.76</v>
      </c>
      <c r="O710" s="517"/>
      <c r="P710" s="517"/>
      <c r="Q710" s="517">
        <f>Q708-Q709-0.01</f>
        <v>290176.61499999999</v>
      </c>
      <c r="R710" s="517"/>
      <c r="S710" s="517"/>
      <c r="T710" s="517"/>
      <c r="U710" s="517"/>
      <c r="V710" s="517"/>
      <c r="W710" s="517"/>
      <c r="X710" s="517"/>
      <c r="Y710" s="164">
        <f>12347332.93+Y784+Y796+Y813+Y834+Z714</f>
        <v>12656747.880000001</v>
      </c>
      <c r="Z710" s="115"/>
      <c r="AA710" s="18"/>
      <c r="AB710" s="60"/>
      <c r="AC710" s="60"/>
      <c r="AD710" s="60"/>
    </row>
    <row r="711" spans="1:30" s="20" customFormat="1" ht="76.5" hidden="1" x14ac:dyDescent="0.2">
      <c r="A711" s="335">
        <f>A710+1</f>
        <v>582</v>
      </c>
      <c r="B711" s="257" t="s">
        <v>148</v>
      </c>
      <c r="C711" s="367" t="s">
        <v>76</v>
      </c>
      <c r="D711" s="254" t="s">
        <v>425</v>
      </c>
      <c r="E711" s="254">
        <v>56.756999999999998</v>
      </c>
      <c r="F711" s="254">
        <v>1</v>
      </c>
      <c r="G711" s="254">
        <f t="shared" ref="G711:G719" si="234">ROUND(E711*F711,2)</f>
        <v>56.76</v>
      </c>
      <c r="H711" s="254"/>
      <c r="I711" s="299">
        <v>343.08</v>
      </c>
      <c r="J711" s="300">
        <v>1.9442999999999999</v>
      </c>
      <c r="K711" s="299">
        <f>ROUND(I711*J711,2)</f>
        <v>667.05</v>
      </c>
      <c r="L711" s="301">
        <f>ROUND(K711*G711,2)</f>
        <v>37861.760000000002</v>
      </c>
      <c r="M711" s="154">
        <f>ROUND(L711*0.2,2)</f>
        <v>7572.35</v>
      </c>
      <c r="N711" s="250">
        <f t="shared" si="233"/>
        <v>45434.11</v>
      </c>
      <c r="O711" s="517"/>
      <c r="P711" s="517"/>
      <c r="Q711" s="517"/>
      <c r="R711" s="517"/>
      <c r="S711" s="517"/>
      <c r="T711" s="517"/>
      <c r="U711" s="517"/>
      <c r="V711" s="517"/>
      <c r="W711" s="517"/>
      <c r="X711" s="517"/>
      <c r="Y711" s="125" t="s">
        <v>533</v>
      </c>
      <c r="Z711" s="115"/>
      <c r="AA711" s="18"/>
      <c r="AB711" s="60"/>
      <c r="AC711" s="60"/>
      <c r="AD711" s="60"/>
    </row>
    <row r="712" spans="1:30" s="20" customFormat="1" ht="86.25" hidden="1" customHeight="1" x14ac:dyDescent="0.2">
      <c r="A712" s="335">
        <f t="shared" ref="A712:A718" si="235">A711+1</f>
        <v>583</v>
      </c>
      <c r="B712" s="257" t="s">
        <v>150</v>
      </c>
      <c r="C712" s="367" t="s">
        <v>286</v>
      </c>
      <c r="D712" s="254" t="s">
        <v>425</v>
      </c>
      <c r="E712" s="254">
        <v>137.52000000000001</v>
      </c>
      <c r="F712" s="254">
        <v>3</v>
      </c>
      <c r="G712" s="254">
        <f>ROUND(E712*F712,2)</f>
        <v>412.56</v>
      </c>
      <c r="H712" s="254"/>
      <c r="I712" s="299">
        <v>188.57</v>
      </c>
      <c r="J712" s="300">
        <v>1.9442999999999999</v>
      </c>
      <c r="K712" s="299">
        <f>ROUND(I712*J712,2)</f>
        <v>366.64</v>
      </c>
      <c r="L712" s="301">
        <f t="shared" ref="L712:L718" si="236">ROUND(K712*G712,2)</f>
        <v>151261</v>
      </c>
      <c r="M712" s="154">
        <f t="shared" ref="M712:M718" si="237">ROUND(L712*0.2,2)</f>
        <v>30252.2</v>
      </c>
      <c r="N712" s="250">
        <f t="shared" si="233"/>
        <v>181513.2</v>
      </c>
      <c r="O712" s="517"/>
      <c r="P712" s="517"/>
      <c r="Q712" s="517"/>
      <c r="R712" s="517"/>
      <c r="S712" s="517"/>
      <c r="T712" s="517"/>
      <c r="U712" s="517"/>
      <c r="V712" s="517"/>
      <c r="W712" s="517"/>
      <c r="X712" s="517"/>
      <c r="Y712" s="162">
        <f>Y786+Y797+Y814+Y835</f>
        <v>371252.39999999991</v>
      </c>
      <c r="Z712" s="115"/>
      <c r="AA712" s="18"/>
      <c r="AB712" s="60"/>
      <c r="AC712" s="60"/>
      <c r="AD712" s="60"/>
    </row>
    <row r="713" spans="1:30" s="20" customFormat="1" ht="35.25" hidden="1" customHeight="1" x14ac:dyDescent="0.2">
      <c r="A713" s="335">
        <f>A712+1</f>
        <v>584</v>
      </c>
      <c r="B713" s="257" t="s">
        <v>150</v>
      </c>
      <c r="C713" s="367" t="s">
        <v>78</v>
      </c>
      <c r="D713" s="254" t="s">
        <v>425</v>
      </c>
      <c r="E713" s="254">
        <v>379.59800000000001</v>
      </c>
      <c r="F713" s="254">
        <v>2</v>
      </c>
      <c r="G713" s="254">
        <f t="shared" si="234"/>
        <v>759.2</v>
      </c>
      <c r="H713" s="254"/>
      <c r="I713" s="299">
        <v>188.57</v>
      </c>
      <c r="J713" s="300">
        <v>1.9442999999999999</v>
      </c>
      <c r="K713" s="299">
        <f t="shared" ref="K713:K718" si="238">ROUND(I713*J713,2)</f>
        <v>366.64</v>
      </c>
      <c r="L713" s="301">
        <f t="shared" si="236"/>
        <v>278353.09000000003</v>
      </c>
      <c r="M713" s="154">
        <f t="shared" si="237"/>
        <v>55670.62</v>
      </c>
      <c r="N713" s="250">
        <f t="shared" si="233"/>
        <v>334023.71000000002</v>
      </c>
      <c r="O713" s="517"/>
      <c r="P713" s="517"/>
      <c r="Q713" s="517"/>
      <c r="R713" s="517"/>
      <c r="S713" s="517"/>
      <c r="T713" s="517"/>
      <c r="U713" s="517"/>
      <c r="V713" s="517"/>
      <c r="W713" s="517"/>
      <c r="X713" s="517"/>
      <c r="Y713" s="122"/>
      <c r="Z713" s="165">
        <f>Y712*0.4</f>
        <v>148500.95999999996</v>
      </c>
      <c r="AA713" s="18">
        <v>62353.31</v>
      </c>
      <c r="AB713" s="22"/>
      <c r="AC713" s="22"/>
      <c r="AD713" s="22"/>
    </row>
    <row r="714" spans="1:30" s="20" customFormat="1" ht="76.5" hidden="1" x14ac:dyDescent="0.2">
      <c r="A714" s="335">
        <f>A713+1</f>
        <v>585</v>
      </c>
      <c r="B714" s="366" t="s">
        <v>150</v>
      </c>
      <c r="C714" s="367" t="s">
        <v>79</v>
      </c>
      <c r="D714" s="254" t="s">
        <v>425</v>
      </c>
      <c r="E714" s="254">
        <v>50.451999999999998</v>
      </c>
      <c r="F714" s="254">
        <v>1</v>
      </c>
      <c r="G714" s="254">
        <f t="shared" si="234"/>
        <v>50.45</v>
      </c>
      <c r="H714" s="254"/>
      <c r="I714" s="299">
        <v>188.57</v>
      </c>
      <c r="J714" s="300">
        <v>1.9442999999999999</v>
      </c>
      <c r="K714" s="299">
        <f>ROUND(I714*J714,2)</f>
        <v>366.64</v>
      </c>
      <c r="L714" s="301">
        <f>ROUND(K714*G714,2)</f>
        <v>18496.990000000002</v>
      </c>
      <c r="M714" s="154">
        <f>ROUND(L714*0.2,2)</f>
        <v>3699.4</v>
      </c>
      <c r="N714" s="250">
        <f t="shared" si="233"/>
        <v>22196.39</v>
      </c>
      <c r="O714" s="517"/>
      <c r="P714" s="517"/>
      <c r="Q714" s="517"/>
      <c r="R714" s="517"/>
      <c r="S714" s="517"/>
      <c r="T714" s="517"/>
      <c r="U714" s="517"/>
      <c r="V714" s="517"/>
      <c r="W714" s="517"/>
      <c r="X714" s="517"/>
      <c r="Y714" s="122"/>
      <c r="Z714" s="166">
        <f>Y712-Z713</f>
        <v>222751.43999999994</v>
      </c>
      <c r="AA714" s="18">
        <v>124560.12</v>
      </c>
      <c r="AB714" s="22"/>
      <c r="AC714" s="22"/>
      <c r="AD714" s="22"/>
    </row>
    <row r="715" spans="1:30" s="20" customFormat="1" ht="76.5" hidden="1" x14ac:dyDescent="0.2">
      <c r="A715" s="335">
        <f>A714+1</f>
        <v>586</v>
      </c>
      <c r="B715" s="257" t="s">
        <v>151</v>
      </c>
      <c r="C715" s="257" t="s">
        <v>64</v>
      </c>
      <c r="D715" s="254" t="s">
        <v>118</v>
      </c>
      <c r="E715" s="254">
        <f>24.62+26.18+0.18</f>
        <v>50.98</v>
      </c>
      <c r="F715" s="254">
        <v>2</v>
      </c>
      <c r="G715" s="254">
        <f t="shared" si="234"/>
        <v>101.96</v>
      </c>
      <c r="H715" s="254"/>
      <c r="I715" s="299">
        <v>44.32</v>
      </c>
      <c r="J715" s="300">
        <v>1.9442999999999999</v>
      </c>
      <c r="K715" s="299">
        <f t="shared" si="238"/>
        <v>86.17</v>
      </c>
      <c r="L715" s="301">
        <f t="shared" si="236"/>
        <v>8785.89</v>
      </c>
      <c r="M715" s="154">
        <f t="shared" si="237"/>
        <v>1757.18</v>
      </c>
      <c r="N715" s="250">
        <f t="shared" si="233"/>
        <v>10543.07</v>
      </c>
      <c r="O715" s="517"/>
      <c r="P715" s="517"/>
      <c r="Q715" s="517"/>
      <c r="R715" s="517"/>
      <c r="S715" s="517"/>
      <c r="T715" s="517"/>
      <c r="U715" s="517"/>
      <c r="V715" s="517"/>
      <c r="W715" s="517"/>
      <c r="X715" s="517"/>
      <c r="Y715" s="122"/>
      <c r="Z715" s="113"/>
      <c r="AA715" s="18">
        <v>229217.66</v>
      </c>
      <c r="AB715" s="22"/>
      <c r="AC715" s="22"/>
      <c r="AD715" s="22"/>
    </row>
    <row r="716" spans="1:30" s="20" customFormat="1" ht="76.5" hidden="1" x14ac:dyDescent="0.2">
      <c r="A716" s="335">
        <f t="shared" si="235"/>
        <v>587</v>
      </c>
      <c r="B716" s="257" t="s">
        <v>152</v>
      </c>
      <c r="C716" s="367" t="s">
        <v>80</v>
      </c>
      <c r="D716" s="254" t="s">
        <v>118</v>
      </c>
      <c r="E716" s="254">
        <v>7.32</v>
      </c>
      <c r="F716" s="254">
        <v>2</v>
      </c>
      <c r="G716" s="254">
        <f t="shared" si="234"/>
        <v>14.64</v>
      </c>
      <c r="H716" s="254"/>
      <c r="I716" s="299">
        <v>66.5</v>
      </c>
      <c r="J716" s="300">
        <v>1.9442999999999999</v>
      </c>
      <c r="K716" s="299">
        <f t="shared" si="238"/>
        <v>129.30000000000001</v>
      </c>
      <c r="L716" s="301">
        <f t="shared" si="236"/>
        <v>1892.95</v>
      </c>
      <c r="M716" s="154">
        <f t="shared" si="237"/>
        <v>378.59</v>
      </c>
      <c r="N716" s="250">
        <f t="shared" si="233"/>
        <v>2271.54</v>
      </c>
      <c r="O716" s="517"/>
      <c r="P716" s="517"/>
      <c r="Q716" s="517"/>
      <c r="R716" s="517"/>
      <c r="S716" s="517"/>
      <c r="T716" s="517"/>
      <c r="U716" s="517"/>
      <c r="V716" s="517"/>
      <c r="W716" s="517"/>
      <c r="X716" s="517"/>
      <c r="Y716" s="122"/>
      <c r="Z716" s="113"/>
      <c r="AA716" s="18"/>
      <c r="AB716" s="22"/>
      <c r="AC716" s="22"/>
      <c r="AD716" s="22"/>
    </row>
    <row r="717" spans="1:30" s="20" customFormat="1" ht="76.5" hidden="1" x14ac:dyDescent="0.2">
      <c r="A717" s="335">
        <f t="shared" si="235"/>
        <v>588</v>
      </c>
      <c r="B717" s="257" t="s">
        <v>213</v>
      </c>
      <c r="C717" s="367" t="s">
        <v>315</v>
      </c>
      <c r="D717" s="254" t="s">
        <v>422</v>
      </c>
      <c r="E717" s="254">
        <v>3</v>
      </c>
      <c r="F717" s="254">
        <v>3</v>
      </c>
      <c r="G717" s="254">
        <f t="shared" si="234"/>
        <v>9</v>
      </c>
      <c r="H717" s="254"/>
      <c r="I717" s="299">
        <v>218.45</v>
      </c>
      <c r="J717" s="300">
        <v>1.9442999999999999</v>
      </c>
      <c r="K717" s="299">
        <f t="shared" si="238"/>
        <v>424.73</v>
      </c>
      <c r="L717" s="301">
        <f t="shared" si="236"/>
        <v>3822.57</v>
      </c>
      <c r="M717" s="154">
        <f t="shared" si="237"/>
        <v>764.51</v>
      </c>
      <c r="N717" s="250">
        <f t="shared" si="233"/>
        <v>4587.08</v>
      </c>
      <c r="O717" s="517"/>
      <c r="P717" s="517"/>
      <c r="Q717" s="517"/>
      <c r="R717" s="517"/>
      <c r="S717" s="517"/>
      <c r="T717" s="517"/>
      <c r="U717" s="517"/>
      <c r="V717" s="517"/>
      <c r="W717" s="517"/>
      <c r="X717" s="517"/>
      <c r="Y717" s="122"/>
      <c r="Z717" s="113"/>
      <c r="AA717" s="18">
        <v>1528.48</v>
      </c>
      <c r="AB717" s="22"/>
      <c r="AC717" s="22"/>
      <c r="AD717" s="22"/>
    </row>
    <row r="718" spans="1:30" s="20" customFormat="1" ht="76.5" hidden="1" x14ac:dyDescent="0.2">
      <c r="A718" s="335">
        <f t="shared" si="235"/>
        <v>589</v>
      </c>
      <c r="B718" s="257" t="s">
        <v>154</v>
      </c>
      <c r="C718" s="367" t="s">
        <v>314</v>
      </c>
      <c r="D718" s="254" t="s">
        <v>354</v>
      </c>
      <c r="E718" s="254">
        <f>277.84*0.85</f>
        <v>236.16399999999996</v>
      </c>
      <c r="F718" s="254">
        <v>2</v>
      </c>
      <c r="G718" s="254">
        <f t="shared" si="234"/>
        <v>472.33</v>
      </c>
      <c r="H718" s="254"/>
      <c r="I718" s="299">
        <v>241.57</v>
      </c>
      <c r="J718" s="300">
        <v>1.9442999999999999</v>
      </c>
      <c r="K718" s="299">
        <f t="shared" si="238"/>
        <v>469.68</v>
      </c>
      <c r="L718" s="301">
        <f t="shared" si="236"/>
        <v>221843.95</v>
      </c>
      <c r="M718" s="154">
        <f t="shared" si="237"/>
        <v>44368.79</v>
      </c>
      <c r="N718" s="250">
        <f t="shared" si="233"/>
        <v>266212.74</v>
      </c>
      <c r="O718" s="517"/>
      <c r="P718" s="517"/>
      <c r="Q718" s="517"/>
      <c r="R718" s="517"/>
      <c r="S718" s="517"/>
      <c r="T718" s="517"/>
      <c r="U718" s="517"/>
      <c r="V718" s="517"/>
      <c r="W718" s="517"/>
      <c r="X718" s="517"/>
      <c r="Y718" s="122"/>
      <c r="Z718" s="113">
        <v>3120.4300000000003</v>
      </c>
      <c r="AA718" s="18">
        <v>1558.57</v>
      </c>
      <c r="AB718" s="22"/>
      <c r="AC718" s="22"/>
      <c r="AD718" s="22"/>
    </row>
    <row r="719" spans="1:30" s="20" customFormat="1" ht="62.25" hidden="1" customHeight="1" x14ac:dyDescent="0.2">
      <c r="A719" s="335">
        <f>A718+1</f>
        <v>590</v>
      </c>
      <c r="B719" s="342" t="s">
        <v>505</v>
      </c>
      <c r="C719" s="367" t="s">
        <v>504</v>
      </c>
      <c r="D719" s="254" t="s">
        <v>355</v>
      </c>
      <c r="E719" s="254">
        <v>4</v>
      </c>
      <c r="F719" s="254">
        <v>2</v>
      </c>
      <c r="G719" s="254">
        <f t="shared" si="234"/>
        <v>8</v>
      </c>
      <c r="H719" s="299"/>
      <c r="I719" s="306"/>
      <c r="J719" s="300"/>
      <c r="K719" s="299">
        <v>4405.2299999999996</v>
      </c>
      <c r="L719" s="301">
        <f>ROUND(K719*G719,2)</f>
        <v>35241.839999999997</v>
      </c>
      <c r="M719" s="154">
        <f>ROUND(L719*0.2,2)</f>
        <v>7048.37</v>
      </c>
      <c r="N719" s="250">
        <f>ROUND(M719+L719,2)</f>
        <v>42290.21</v>
      </c>
      <c r="O719" s="517"/>
      <c r="P719" s="517"/>
      <c r="Q719" s="517"/>
      <c r="R719" s="517"/>
      <c r="S719" s="517"/>
      <c r="T719" s="517"/>
      <c r="U719" s="517"/>
      <c r="V719" s="517"/>
      <c r="W719" s="517"/>
      <c r="X719" s="517"/>
      <c r="Y719" s="122"/>
      <c r="Z719" s="113">
        <v>3151.01</v>
      </c>
      <c r="AA719" s="18">
        <v>3147.93</v>
      </c>
      <c r="AB719" s="22"/>
      <c r="AC719" s="22"/>
      <c r="AD719" s="22"/>
    </row>
    <row r="720" spans="1:30" s="20" customFormat="1" ht="12.75" hidden="1" x14ac:dyDescent="0.2">
      <c r="A720" s="335"/>
      <c r="B720" s="257"/>
      <c r="C720" s="247" t="s">
        <v>81</v>
      </c>
      <c r="D720" s="254"/>
      <c r="E720" s="254"/>
      <c r="F720" s="254"/>
      <c r="G720" s="254"/>
      <c r="H720" s="254"/>
      <c r="I720" s="254"/>
      <c r="J720" s="254"/>
      <c r="K720" s="254"/>
      <c r="L720" s="254"/>
      <c r="M720" s="343"/>
      <c r="N720" s="250"/>
      <c r="O720" s="517"/>
      <c r="P720" s="517"/>
      <c r="Q720" s="517"/>
      <c r="R720" s="517"/>
      <c r="S720" s="517"/>
      <c r="T720" s="517"/>
      <c r="U720" s="517"/>
      <c r="V720" s="517"/>
      <c r="W720" s="517"/>
      <c r="X720" s="517"/>
      <c r="Y720" s="122"/>
      <c r="Z720" s="113">
        <v>182865.4</v>
      </c>
      <c r="AA720" s="18">
        <v>274029.76</v>
      </c>
      <c r="AB720" s="22"/>
      <c r="AC720" s="22"/>
      <c r="AD720" s="22"/>
    </row>
    <row r="721" spans="1:30" s="20" customFormat="1" ht="63" hidden="1" customHeight="1" x14ac:dyDescent="0.2">
      <c r="A721" s="335">
        <f>A719+1</f>
        <v>591</v>
      </c>
      <c r="B721" s="257" t="s">
        <v>155</v>
      </c>
      <c r="C721" s="367" t="s">
        <v>107</v>
      </c>
      <c r="D721" s="254" t="s">
        <v>118</v>
      </c>
      <c r="E721" s="254">
        <f>12.03*0.3</f>
        <v>3.6089999999999995</v>
      </c>
      <c r="F721" s="254">
        <v>1</v>
      </c>
      <c r="G721" s="254">
        <f t="shared" ref="G721:G727" si="239">ROUND(E721*F721,2)</f>
        <v>3.61</v>
      </c>
      <c r="H721" s="254"/>
      <c r="I721" s="299">
        <v>64649.39</v>
      </c>
      <c r="J721" s="300">
        <v>1.9442999999999999</v>
      </c>
      <c r="K721" s="299">
        <f t="shared" ref="K721:K727" si="240">ROUND(I721*J721,2)</f>
        <v>125697.81</v>
      </c>
      <c r="L721" s="301">
        <f>ROUND(K721*G721,2)</f>
        <v>453769.09</v>
      </c>
      <c r="M721" s="154">
        <f t="shared" ref="M721:M727" si="241">ROUND(L721*0.2,2)</f>
        <v>90753.82</v>
      </c>
      <c r="N721" s="250">
        <f t="shared" ref="N721:N727" si="242">ROUND(L721+M721,2)</f>
        <v>544522.91</v>
      </c>
      <c r="O721" s="517"/>
      <c r="P721" s="517"/>
      <c r="Q721" s="517"/>
      <c r="R721" s="517"/>
      <c r="S721" s="517"/>
      <c r="T721" s="517"/>
      <c r="U721" s="517"/>
      <c r="V721" s="517"/>
      <c r="W721" s="517"/>
      <c r="X721" s="517"/>
      <c r="Y721" s="122"/>
      <c r="Z721" s="113"/>
      <c r="AA721" s="18"/>
      <c r="AB721" s="22"/>
      <c r="AC721" s="22"/>
      <c r="AD721" s="22"/>
    </row>
    <row r="722" spans="1:30" s="20" customFormat="1" ht="40.5" hidden="1" customHeight="1" x14ac:dyDescent="0.2">
      <c r="A722" s="335">
        <f t="shared" ref="A722:A727" si="243">A721+1</f>
        <v>592</v>
      </c>
      <c r="B722" s="257" t="s">
        <v>287</v>
      </c>
      <c r="C722" s="367" t="s">
        <v>108</v>
      </c>
      <c r="D722" s="254" t="s">
        <v>118</v>
      </c>
      <c r="E722" s="254">
        <f>8.2*0.3</f>
        <v>2.4599999999999995</v>
      </c>
      <c r="F722" s="254">
        <v>1</v>
      </c>
      <c r="G722" s="254">
        <f t="shared" si="239"/>
        <v>2.46</v>
      </c>
      <c r="H722" s="254"/>
      <c r="I722" s="299">
        <v>77125.900999999998</v>
      </c>
      <c r="J722" s="300">
        <v>1.9442999999999999</v>
      </c>
      <c r="K722" s="299">
        <f t="shared" si="240"/>
        <v>149955.89000000001</v>
      </c>
      <c r="L722" s="301">
        <f t="shared" ref="L722:L739" si="244">ROUND(K722*G722,2)</f>
        <v>368891.49</v>
      </c>
      <c r="M722" s="154">
        <f t="shared" si="241"/>
        <v>73778.3</v>
      </c>
      <c r="N722" s="250">
        <f t="shared" si="242"/>
        <v>442669.79</v>
      </c>
      <c r="O722" s="517"/>
      <c r="P722" s="517"/>
      <c r="Q722" s="517"/>
      <c r="R722" s="517"/>
      <c r="S722" s="517"/>
      <c r="T722" s="517"/>
      <c r="U722" s="517"/>
      <c r="V722" s="517"/>
      <c r="W722" s="517"/>
      <c r="X722" s="517"/>
      <c r="Y722" s="122">
        <f>N721+N722+N724</f>
        <v>1289565.3599999999</v>
      </c>
      <c r="Z722" s="113"/>
      <c r="AA722" s="18"/>
      <c r="AB722" s="22"/>
      <c r="AC722" s="22"/>
      <c r="AD722" s="22"/>
    </row>
    <row r="723" spans="1:30" s="20" customFormat="1" ht="89.25" hidden="1" x14ac:dyDescent="0.2">
      <c r="A723" s="335">
        <f t="shared" si="243"/>
        <v>593</v>
      </c>
      <c r="B723" s="257" t="s">
        <v>158</v>
      </c>
      <c r="C723" s="367" t="s">
        <v>82</v>
      </c>
      <c r="D723" s="254" t="s">
        <v>433</v>
      </c>
      <c r="E723" s="254">
        <f>2552*0.5</f>
        <v>1276</v>
      </c>
      <c r="F723" s="254">
        <v>1</v>
      </c>
      <c r="G723" s="254">
        <f t="shared" si="239"/>
        <v>1276</v>
      </c>
      <c r="H723" s="254"/>
      <c r="I723" s="299">
        <v>35.799999999999997</v>
      </c>
      <c r="J723" s="300">
        <v>1.9442999999999999</v>
      </c>
      <c r="K723" s="299">
        <f t="shared" si="240"/>
        <v>69.61</v>
      </c>
      <c r="L723" s="301">
        <f t="shared" si="244"/>
        <v>88822.36</v>
      </c>
      <c r="M723" s="154">
        <f t="shared" si="241"/>
        <v>17764.47</v>
      </c>
      <c r="N723" s="250">
        <f t="shared" si="242"/>
        <v>106586.83</v>
      </c>
      <c r="O723" s="517"/>
      <c r="P723" s="517"/>
      <c r="Q723" s="517"/>
      <c r="R723" s="517"/>
      <c r="S723" s="517"/>
      <c r="T723" s="517"/>
      <c r="U723" s="517"/>
      <c r="V723" s="517"/>
      <c r="W723" s="517"/>
      <c r="X723" s="517"/>
      <c r="Y723" s="122"/>
      <c r="Z723" s="113">
        <v>623752.02</v>
      </c>
      <c r="AA723" s="18">
        <v>1245250.5600000001</v>
      </c>
      <c r="AB723" s="22">
        <f>AC723*0.0005/100</f>
        <v>8.2060150000000007</v>
      </c>
      <c r="AC723" s="22">
        <v>1641203</v>
      </c>
      <c r="AD723" s="22"/>
    </row>
    <row r="724" spans="1:30" s="20" customFormat="1" ht="114.75" hidden="1" x14ac:dyDescent="0.2">
      <c r="A724" s="335">
        <f t="shared" si="243"/>
        <v>594</v>
      </c>
      <c r="B724" s="257" t="s">
        <v>274</v>
      </c>
      <c r="C724" s="367" t="s">
        <v>103</v>
      </c>
      <c r="D724" s="254" t="s">
        <v>437</v>
      </c>
      <c r="E724" s="254">
        <f>821*0.5</f>
        <v>410.5</v>
      </c>
      <c r="F724" s="254">
        <v>1</v>
      </c>
      <c r="G724" s="254">
        <f t="shared" si="239"/>
        <v>410.5</v>
      </c>
      <c r="H724" s="254"/>
      <c r="I724" s="299">
        <v>315.70999999999998</v>
      </c>
      <c r="J724" s="300">
        <v>1.9442999999999999</v>
      </c>
      <c r="K724" s="299">
        <f t="shared" si="240"/>
        <v>613.83000000000004</v>
      </c>
      <c r="L724" s="301">
        <f t="shared" si="244"/>
        <v>251977.22</v>
      </c>
      <c r="M724" s="154">
        <f t="shared" si="241"/>
        <v>50395.44</v>
      </c>
      <c r="N724" s="250">
        <f t="shared" si="242"/>
        <v>302372.65999999997</v>
      </c>
      <c r="O724" s="517"/>
      <c r="P724" s="517"/>
      <c r="Q724" s="517"/>
      <c r="R724" s="517"/>
      <c r="S724" s="517"/>
      <c r="T724" s="517"/>
      <c r="U724" s="517"/>
      <c r="V724" s="517"/>
      <c r="W724" s="517"/>
      <c r="X724" s="517"/>
      <c r="Y724" s="122"/>
      <c r="Z724" s="113">
        <v>506798.33</v>
      </c>
      <c r="AA724" s="18">
        <v>1012606.77</v>
      </c>
      <c r="AB724" s="22">
        <f>AB723/2</f>
        <v>4.1030075000000004</v>
      </c>
      <c r="AC724" s="22"/>
      <c r="AD724" s="22"/>
    </row>
    <row r="725" spans="1:30" s="20" customFormat="1" ht="76.5" hidden="1" x14ac:dyDescent="0.2">
      <c r="A725" s="335">
        <f t="shared" si="243"/>
        <v>595</v>
      </c>
      <c r="B725" s="257" t="s">
        <v>159</v>
      </c>
      <c r="C725" s="367" t="s">
        <v>109</v>
      </c>
      <c r="D725" s="254" t="s">
        <v>432</v>
      </c>
      <c r="E725" s="254">
        <f>5.7428/2</f>
        <v>2.8714</v>
      </c>
      <c r="F725" s="254">
        <v>1</v>
      </c>
      <c r="G725" s="254">
        <f t="shared" si="239"/>
        <v>2.87</v>
      </c>
      <c r="H725" s="254"/>
      <c r="I725" s="299">
        <v>11575.11</v>
      </c>
      <c r="J725" s="300">
        <v>1.9442999999999999</v>
      </c>
      <c r="K725" s="299">
        <f t="shared" si="240"/>
        <v>22505.49</v>
      </c>
      <c r="L725" s="301">
        <f t="shared" si="244"/>
        <v>64590.76</v>
      </c>
      <c r="M725" s="154">
        <f t="shared" si="241"/>
        <v>12918.15</v>
      </c>
      <c r="N725" s="250">
        <f t="shared" si="242"/>
        <v>77508.91</v>
      </c>
      <c r="O725" s="517"/>
      <c r="P725" s="517"/>
      <c r="Q725" s="517"/>
      <c r="R725" s="517"/>
      <c r="S725" s="517"/>
      <c r="T725" s="517"/>
      <c r="U725" s="517"/>
      <c r="V725" s="517"/>
      <c r="W725" s="517"/>
      <c r="X725" s="517"/>
      <c r="Y725" s="122"/>
      <c r="Z725" s="113">
        <v>146443.97</v>
      </c>
      <c r="AA725" s="18">
        <v>146298.5</v>
      </c>
      <c r="AB725" s="22"/>
      <c r="AC725" s="22"/>
      <c r="AD725" s="22"/>
    </row>
    <row r="726" spans="1:30" s="20" customFormat="1" ht="89.25" hidden="1" x14ac:dyDescent="0.2">
      <c r="A726" s="335">
        <f t="shared" si="243"/>
        <v>596</v>
      </c>
      <c r="B726" s="257" t="s">
        <v>160</v>
      </c>
      <c r="C726" s="367" t="s">
        <v>110</v>
      </c>
      <c r="D726" s="254" t="s">
        <v>432</v>
      </c>
      <c r="E726" s="254">
        <v>151.36000000000001</v>
      </c>
      <c r="F726" s="254">
        <v>3</v>
      </c>
      <c r="G726" s="254">
        <f t="shared" si="239"/>
        <v>454.08</v>
      </c>
      <c r="H726" s="254"/>
      <c r="I726" s="299">
        <v>283.41000000000003</v>
      </c>
      <c r="J726" s="300">
        <v>1.9442999999999999</v>
      </c>
      <c r="K726" s="299">
        <f t="shared" si="240"/>
        <v>551.03</v>
      </c>
      <c r="L726" s="301">
        <f t="shared" si="244"/>
        <v>250211.7</v>
      </c>
      <c r="M726" s="154">
        <f t="shared" si="241"/>
        <v>50042.34</v>
      </c>
      <c r="N726" s="250">
        <f t="shared" si="242"/>
        <v>300254.03999999998</v>
      </c>
      <c r="O726" s="517"/>
      <c r="P726" s="517"/>
      <c r="Q726" s="517"/>
      <c r="R726" s="517"/>
      <c r="S726" s="517"/>
      <c r="T726" s="517"/>
      <c r="U726" s="517"/>
      <c r="V726" s="517"/>
      <c r="W726" s="517"/>
      <c r="X726" s="517"/>
      <c r="Y726" s="122"/>
      <c r="Z726" s="113">
        <v>207709.72</v>
      </c>
      <c r="AA726" s="18">
        <v>415007.29</v>
      </c>
      <c r="AB726" s="22"/>
      <c r="AC726" s="22"/>
      <c r="AD726" s="22"/>
    </row>
    <row r="727" spans="1:30" s="20" customFormat="1" ht="51" hidden="1" x14ac:dyDescent="0.2">
      <c r="A727" s="335">
        <f t="shared" si="243"/>
        <v>597</v>
      </c>
      <c r="B727" s="366" t="s">
        <v>463</v>
      </c>
      <c r="C727" s="344" t="s">
        <v>464</v>
      </c>
      <c r="D727" s="299" t="s">
        <v>118</v>
      </c>
      <c r="E727" s="254">
        <v>1</v>
      </c>
      <c r="F727" s="254">
        <v>1</v>
      </c>
      <c r="G727" s="254">
        <f t="shared" si="239"/>
        <v>1</v>
      </c>
      <c r="H727" s="299"/>
      <c r="I727" s="299">
        <v>38457.4</v>
      </c>
      <c r="J727" s="300">
        <v>1.9442999999999999</v>
      </c>
      <c r="K727" s="299">
        <f t="shared" si="240"/>
        <v>74772.72</v>
      </c>
      <c r="L727" s="301">
        <f>ROUND(K727*G727,2)</f>
        <v>74772.72</v>
      </c>
      <c r="M727" s="154">
        <f t="shared" si="241"/>
        <v>14954.54</v>
      </c>
      <c r="N727" s="73">
        <f t="shared" si="242"/>
        <v>89727.26</v>
      </c>
      <c r="O727" s="517"/>
      <c r="P727" s="517"/>
      <c r="Q727" s="517"/>
      <c r="R727" s="517"/>
      <c r="S727" s="517"/>
      <c r="T727" s="517"/>
      <c r="U727" s="517"/>
      <c r="V727" s="517"/>
      <c r="W727" s="517"/>
      <c r="X727" s="517"/>
      <c r="Y727" s="122"/>
      <c r="Z727" s="113">
        <v>106484.96</v>
      </c>
      <c r="AA727" s="18">
        <v>106380.97</v>
      </c>
      <c r="AB727" s="22"/>
      <c r="AC727" s="22"/>
      <c r="AD727" s="22"/>
    </row>
    <row r="728" spans="1:30" s="20" customFormat="1" ht="25.5" hidden="1" x14ac:dyDescent="0.2">
      <c r="A728" s="335"/>
      <c r="B728" s="257"/>
      <c r="C728" s="247" t="s">
        <v>83</v>
      </c>
      <c r="D728" s="254"/>
      <c r="E728" s="254"/>
      <c r="F728" s="254"/>
      <c r="G728" s="254"/>
      <c r="H728" s="254"/>
      <c r="I728" s="299"/>
      <c r="J728" s="300"/>
      <c r="K728" s="299"/>
      <c r="L728" s="301"/>
      <c r="M728" s="154"/>
      <c r="N728" s="250"/>
      <c r="O728" s="517"/>
      <c r="P728" s="517"/>
      <c r="Q728" s="517"/>
      <c r="R728" s="517"/>
      <c r="S728" s="517"/>
      <c r="T728" s="517"/>
      <c r="U728" s="517"/>
      <c r="V728" s="517"/>
      <c r="W728" s="517"/>
      <c r="X728" s="517"/>
      <c r="Y728" s="122"/>
      <c r="Z728" s="113">
        <v>412518.95999999996</v>
      </c>
      <c r="AA728" s="18">
        <v>274742.62</v>
      </c>
      <c r="AB728" s="22"/>
      <c r="AC728" s="22"/>
      <c r="AD728" s="22"/>
    </row>
    <row r="729" spans="1:30" s="20" customFormat="1" ht="76.5" hidden="1" x14ac:dyDescent="0.2">
      <c r="A729" s="335">
        <f>A726+1</f>
        <v>597</v>
      </c>
      <c r="B729" s="257" t="s">
        <v>288</v>
      </c>
      <c r="C729" s="367" t="s">
        <v>84</v>
      </c>
      <c r="D729" s="254" t="s">
        <v>433</v>
      </c>
      <c r="E729" s="254">
        <f>732*0.2</f>
        <v>146.4</v>
      </c>
      <c r="F729" s="254">
        <v>1</v>
      </c>
      <c r="G729" s="254">
        <f>ROUND(E729*F729,2)</f>
        <v>146.4</v>
      </c>
      <c r="H729" s="254"/>
      <c r="I729" s="299">
        <v>77.2</v>
      </c>
      <c r="J729" s="300">
        <v>1.9442999999999999</v>
      </c>
      <c r="K729" s="299">
        <f>ROUND(I729*J729,2)</f>
        <v>150.1</v>
      </c>
      <c r="L729" s="301">
        <f t="shared" si="244"/>
        <v>21974.639999999999</v>
      </c>
      <c r="M729" s="154">
        <f>ROUND(L729*0.2,2)</f>
        <v>4394.93</v>
      </c>
      <c r="N729" s="250">
        <f>ROUND(L729+M729,2)</f>
        <v>26369.57</v>
      </c>
      <c r="O729" s="517"/>
      <c r="P729" s="517"/>
      <c r="Q729" s="517"/>
      <c r="R729" s="517"/>
      <c r="S729" s="517"/>
      <c r="T729" s="517"/>
      <c r="U729" s="517"/>
      <c r="V729" s="517"/>
      <c r="W729" s="517"/>
      <c r="X729" s="517"/>
      <c r="Y729" s="122"/>
      <c r="Z729" s="113"/>
      <c r="AA729" s="18"/>
      <c r="AB729" s="22"/>
      <c r="AC729" s="22"/>
      <c r="AD729" s="22"/>
    </row>
    <row r="730" spans="1:30" s="20" customFormat="1" ht="89.25" hidden="1" x14ac:dyDescent="0.2">
      <c r="A730" s="335">
        <f>A729+1</f>
        <v>598</v>
      </c>
      <c r="B730" s="257" t="s">
        <v>289</v>
      </c>
      <c r="C730" s="367" t="s">
        <v>85</v>
      </c>
      <c r="D730" s="254" t="s">
        <v>434</v>
      </c>
      <c r="E730" s="254">
        <f>41*0.2</f>
        <v>8.2000000000000011</v>
      </c>
      <c r="F730" s="254">
        <v>0.5</v>
      </c>
      <c r="G730" s="254">
        <f>ROUND(E730*F730,2)</f>
        <v>4.0999999999999996</v>
      </c>
      <c r="H730" s="254"/>
      <c r="I730" s="299">
        <v>1547.81</v>
      </c>
      <c r="J730" s="300">
        <v>1.9442999999999999</v>
      </c>
      <c r="K730" s="299">
        <f>ROUND(I730*J730,2)</f>
        <v>3009.41</v>
      </c>
      <c r="L730" s="301">
        <f t="shared" si="244"/>
        <v>12338.58</v>
      </c>
      <c r="M730" s="154">
        <f>ROUND(L730*0.2,2)</f>
        <v>2467.7199999999998</v>
      </c>
      <c r="N730" s="73">
        <f>ROUND(L730+M730,2)</f>
        <v>14806.3</v>
      </c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64"/>
      <c r="Z730" s="113"/>
      <c r="AA730" s="18"/>
      <c r="AB730" s="22"/>
      <c r="AC730" s="22"/>
      <c r="AD730" s="22"/>
    </row>
    <row r="731" spans="1:30" s="20" customFormat="1" ht="38.25" hidden="1" x14ac:dyDescent="0.2">
      <c r="A731" s="335"/>
      <c r="B731" s="257"/>
      <c r="C731" s="247" t="s">
        <v>86</v>
      </c>
      <c r="D731" s="254"/>
      <c r="E731" s="254"/>
      <c r="F731" s="254"/>
      <c r="G731" s="254"/>
      <c r="H731" s="254"/>
      <c r="I731" s="299"/>
      <c r="J731" s="300"/>
      <c r="K731" s="299"/>
      <c r="L731" s="301"/>
      <c r="M731" s="154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64"/>
      <c r="Z731" s="77">
        <v>90563.04</v>
      </c>
      <c r="AA731" s="18">
        <v>90475.93</v>
      </c>
      <c r="AB731" s="22"/>
      <c r="AC731" s="22"/>
      <c r="AD731" s="22"/>
    </row>
    <row r="732" spans="1:30" s="20" customFormat="1" ht="76.5" hidden="1" x14ac:dyDescent="0.2">
      <c r="A732" s="335">
        <f>A730+1</f>
        <v>599</v>
      </c>
      <c r="B732" s="257" t="s">
        <v>163</v>
      </c>
      <c r="C732" s="367" t="s">
        <v>87</v>
      </c>
      <c r="D732" s="254" t="s">
        <v>422</v>
      </c>
      <c r="E732" s="359">
        <f>1077-870</f>
        <v>207</v>
      </c>
      <c r="F732" s="254">
        <v>1</v>
      </c>
      <c r="G732" s="254">
        <f t="shared" ref="G732:G739" si="245">ROUND(E732*F732,2)</f>
        <v>207</v>
      </c>
      <c r="H732" s="254"/>
      <c r="I732" s="299">
        <v>108.09</v>
      </c>
      <c r="J732" s="300">
        <v>1.9442999999999999</v>
      </c>
      <c r="K732" s="299">
        <f t="shared" ref="K732:K739" si="246">ROUND(I732*J732,2)</f>
        <v>210.16</v>
      </c>
      <c r="L732" s="301">
        <f t="shared" si="244"/>
        <v>43503.12</v>
      </c>
      <c r="M732" s="154">
        <f t="shared" ref="M732:M739" si="247">ROUND(L732*0.2,2)</f>
        <v>8700.6200000000008</v>
      </c>
      <c r="N732" s="73">
        <f t="shared" ref="N732:N739" si="248">ROUND(L732+M732,2)</f>
        <v>52203.74</v>
      </c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64"/>
      <c r="Z732" s="77">
        <v>101707.22</v>
      </c>
      <c r="AA732" s="18">
        <v>101607.92</v>
      </c>
      <c r="AB732" s="22"/>
      <c r="AC732" s="22"/>
      <c r="AD732" s="22"/>
    </row>
    <row r="733" spans="1:30" s="20" customFormat="1" ht="76.5" hidden="1" x14ac:dyDescent="0.2">
      <c r="A733" s="335">
        <f t="shared" ref="A733:A748" si="249">A732+1</f>
        <v>600</v>
      </c>
      <c r="B733" s="257" t="s">
        <v>164</v>
      </c>
      <c r="C733" s="367" t="s">
        <v>111</v>
      </c>
      <c r="D733" s="254" t="s">
        <v>422</v>
      </c>
      <c r="E733" s="254">
        <f>120-80</f>
        <v>40</v>
      </c>
      <c r="F733" s="254">
        <v>1</v>
      </c>
      <c r="G733" s="254">
        <f t="shared" si="245"/>
        <v>40</v>
      </c>
      <c r="H733" s="254"/>
      <c r="I733" s="299">
        <v>3286.73</v>
      </c>
      <c r="J733" s="300">
        <v>1.9442999999999999</v>
      </c>
      <c r="K733" s="299">
        <f t="shared" si="246"/>
        <v>6390.39</v>
      </c>
      <c r="L733" s="301">
        <f t="shared" si="244"/>
        <v>255615.6</v>
      </c>
      <c r="M733" s="154">
        <f t="shared" si="247"/>
        <v>51123.12</v>
      </c>
      <c r="N733" s="73">
        <f t="shared" si="248"/>
        <v>306738.71999999997</v>
      </c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64"/>
      <c r="Z733" s="77"/>
      <c r="AA733" s="18"/>
      <c r="AB733" s="22"/>
      <c r="AC733" s="22"/>
      <c r="AD733" s="22"/>
    </row>
    <row r="734" spans="1:30" s="20" customFormat="1" ht="76.5" hidden="1" x14ac:dyDescent="0.2">
      <c r="A734" s="335">
        <f t="shared" si="249"/>
        <v>601</v>
      </c>
      <c r="B734" s="257" t="s">
        <v>502</v>
      </c>
      <c r="C734" s="367" t="s">
        <v>506</v>
      </c>
      <c r="D734" s="254" t="s">
        <v>422</v>
      </c>
      <c r="E734" s="254">
        <f>20/2</f>
        <v>10</v>
      </c>
      <c r="F734" s="254">
        <v>1</v>
      </c>
      <c r="G734" s="254">
        <f t="shared" si="245"/>
        <v>10</v>
      </c>
      <c r="H734" s="254"/>
      <c r="I734" s="299">
        <v>6596.71</v>
      </c>
      <c r="J734" s="300">
        <v>1.9442999999999999</v>
      </c>
      <c r="K734" s="299">
        <f t="shared" si="246"/>
        <v>12825.98</v>
      </c>
      <c r="L734" s="301">
        <f t="shared" si="244"/>
        <v>128259.8</v>
      </c>
      <c r="M734" s="154">
        <f t="shared" si="247"/>
        <v>25651.96</v>
      </c>
      <c r="N734" s="73">
        <f t="shared" si="248"/>
        <v>153911.76</v>
      </c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64"/>
      <c r="Z734" s="77">
        <v>167913.78</v>
      </c>
      <c r="AA734" s="18">
        <v>55899.25</v>
      </c>
      <c r="AB734" s="22"/>
      <c r="AC734" s="22"/>
      <c r="AD734" s="22"/>
    </row>
    <row r="735" spans="1:30" s="20" customFormat="1" ht="76.5" hidden="1" x14ac:dyDescent="0.2">
      <c r="A735" s="335">
        <f t="shared" si="249"/>
        <v>602</v>
      </c>
      <c r="B735" s="257" t="s">
        <v>167</v>
      </c>
      <c r="C735" s="367" t="s">
        <v>140</v>
      </c>
      <c r="D735" s="254" t="s">
        <v>422</v>
      </c>
      <c r="E735" s="254">
        <f>18/2</f>
        <v>9</v>
      </c>
      <c r="F735" s="254">
        <v>1</v>
      </c>
      <c r="G735" s="254">
        <f t="shared" si="245"/>
        <v>9</v>
      </c>
      <c r="H735" s="254"/>
      <c r="I735" s="299">
        <v>2893.7</v>
      </c>
      <c r="J735" s="300">
        <v>1.9442999999999999</v>
      </c>
      <c r="K735" s="299">
        <f t="shared" si="246"/>
        <v>5626.22</v>
      </c>
      <c r="L735" s="301">
        <f t="shared" si="244"/>
        <v>50635.98</v>
      </c>
      <c r="M735" s="154">
        <f t="shared" si="247"/>
        <v>10127.200000000001</v>
      </c>
      <c r="N735" s="73">
        <f t="shared" si="248"/>
        <v>60763.18</v>
      </c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64"/>
      <c r="Z735" s="77">
        <v>442480.75</v>
      </c>
      <c r="AA735" s="18">
        <v>568348.81000000006</v>
      </c>
      <c r="AB735" s="22"/>
      <c r="AC735" s="22"/>
      <c r="AD735" s="22"/>
    </row>
    <row r="736" spans="1:30" s="20" customFormat="1" ht="76.5" hidden="1" x14ac:dyDescent="0.2">
      <c r="A736" s="335">
        <f t="shared" si="249"/>
        <v>603</v>
      </c>
      <c r="B736" s="257" t="s">
        <v>167</v>
      </c>
      <c r="C736" s="367" t="s">
        <v>137</v>
      </c>
      <c r="D736" s="254" t="s">
        <v>422</v>
      </c>
      <c r="E736" s="254">
        <f>323-200</f>
        <v>123</v>
      </c>
      <c r="F736" s="254">
        <v>1</v>
      </c>
      <c r="G736" s="254">
        <f t="shared" si="245"/>
        <v>123</v>
      </c>
      <c r="H736" s="254"/>
      <c r="I736" s="299">
        <v>167.36</v>
      </c>
      <c r="J736" s="300">
        <v>1.9442999999999999</v>
      </c>
      <c r="K736" s="299">
        <f t="shared" si="246"/>
        <v>325.39999999999998</v>
      </c>
      <c r="L736" s="301">
        <f t="shared" si="244"/>
        <v>40024.199999999997</v>
      </c>
      <c r="M736" s="154">
        <f t="shared" si="247"/>
        <v>8004.84</v>
      </c>
      <c r="N736" s="73">
        <f t="shared" si="248"/>
        <v>48029.04</v>
      </c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64"/>
      <c r="Z736" s="77">
        <v>211450.32</v>
      </c>
      <c r="AA736" s="18">
        <v>126746.31</v>
      </c>
      <c r="AB736" s="22"/>
      <c r="AC736" s="22"/>
      <c r="AD736" s="22"/>
    </row>
    <row r="737" spans="1:30" s="20" customFormat="1" ht="76.5" hidden="1" x14ac:dyDescent="0.2">
      <c r="A737" s="335">
        <f t="shared" si="249"/>
        <v>604</v>
      </c>
      <c r="B737" s="257" t="s">
        <v>290</v>
      </c>
      <c r="C737" s="367" t="s">
        <v>112</v>
      </c>
      <c r="D737" s="254" t="s">
        <v>422</v>
      </c>
      <c r="E737" s="254">
        <v>100</v>
      </c>
      <c r="F737" s="254">
        <v>1</v>
      </c>
      <c r="G737" s="254">
        <f t="shared" si="245"/>
        <v>100</v>
      </c>
      <c r="H737" s="254"/>
      <c r="I737" s="299">
        <v>643.77</v>
      </c>
      <c r="J737" s="300">
        <v>1.9442999999999999</v>
      </c>
      <c r="K737" s="299">
        <f t="shared" si="246"/>
        <v>1251.68</v>
      </c>
      <c r="L737" s="301">
        <f t="shared" si="244"/>
        <v>125168</v>
      </c>
      <c r="M737" s="154">
        <f t="shared" si="247"/>
        <v>25033.599999999999</v>
      </c>
      <c r="N737" s="73">
        <f t="shared" si="248"/>
        <v>150201.60000000001</v>
      </c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64"/>
      <c r="Z737" s="77">
        <v>83478.819999999992</v>
      </c>
      <c r="AA737" s="18">
        <v>134362.35999999999</v>
      </c>
      <c r="AB737" s="22"/>
      <c r="AC737" s="22"/>
      <c r="AD737" s="22"/>
    </row>
    <row r="738" spans="1:30" s="20" customFormat="1" ht="76.5" hidden="1" x14ac:dyDescent="0.2">
      <c r="A738" s="335">
        <f t="shared" si="249"/>
        <v>605</v>
      </c>
      <c r="B738" s="257" t="s">
        <v>169</v>
      </c>
      <c r="C738" s="367" t="s">
        <v>291</v>
      </c>
      <c r="D738" s="254" t="s">
        <v>411</v>
      </c>
      <c r="E738" s="254">
        <f>3.9/2</f>
        <v>1.95</v>
      </c>
      <c r="F738" s="254">
        <v>2</v>
      </c>
      <c r="G738" s="254">
        <f t="shared" si="245"/>
        <v>3.9</v>
      </c>
      <c r="H738" s="254"/>
      <c r="I738" s="299">
        <v>5333.45</v>
      </c>
      <c r="J738" s="300">
        <v>1.9442999999999999</v>
      </c>
      <c r="K738" s="299">
        <f t="shared" si="246"/>
        <v>10369.83</v>
      </c>
      <c r="L738" s="301">
        <f t="shared" si="244"/>
        <v>40442.339999999997</v>
      </c>
      <c r="M738" s="154">
        <f t="shared" si="247"/>
        <v>8088.47</v>
      </c>
      <c r="N738" s="73">
        <f t="shared" si="248"/>
        <v>48530.81</v>
      </c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64"/>
      <c r="Z738" s="77">
        <v>86640.23000000001</v>
      </c>
      <c r="AA738" s="18">
        <v>86555.28</v>
      </c>
      <c r="AB738" s="22"/>
      <c r="AC738" s="22"/>
      <c r="AD738" s="22"/>
    </row>
    <row r="739" spans="1:30" s="20" customFormat="1" ht="76.5" hidden="1" x14ac:dyDescent="0.2">
      <c r="A739" s="335">
        <f t="shared" si="249"/>
        <v>606</v>
      </c>
      <c r="B739" s="257" t="s">
        <v>293</v>
      </c>
      <c r="C739" s="367" t="s">
        <v>292</v>
      </c>
      <c r="D739" s="254" t="s">
        <v>433</v>
      </c>
      <c r="E739" s="254">
        <f>2618/2</f>
        <v>1309</v>
      </c>
      <c r="F739" s="254">
        <v>1</v>
      </c>
      <c r="G739" s="254">
        <f t="shared" si="245"/>
        <v>1309</v>
      </c>
      <c r="H739" s="254"/>
      <c r="I739" s="299">
        <v>38.590000000000003</v>
      </c>
      <c r="J739" s="300">
        <v>1.9442999999999999</v>
      </c>
      <c r="K739" s="299">
        <f t="shared" si="246"/>
        <v>75.03</v>
      </c>
      <c r="L739" s="301">
        <f t="shared" si="244"/>
        <v>98214.27</v>
      </c>
      <c r="M739" s="154">
        <f t="shared" si="247"/>
        <v>19642.849999999999</v>
      </c>
      <c r="N739" s="73">
        <f t="shared" si="248"/>
        <v>117857.12</v>
      </c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64"/>
      <c r="Z739" s="77">
        <v>206354.4</v>
      </c>
      <c r="AA739" s="18">
        <v>90706.75</v>
      </c>
      <c r="AB739" s="22"/>
      <c r="AC739" s="22"/>
      <c r="AD739" s="22"/>
    </row>
    <row r="740" spans="1:30" s="20" customFormat="1" ht="51" hidden="1" x14ac:dyDescent="0.2">
      <c r="A740" s="335">
        <f t="shared" si="249"/>
        <v>607</v>
      </c>
      <c r="B740" s="257" t="s">
        <v>466</v>
      </c>
      <c r="C740" s="367" t="s">
        <v>467</v>
      </c>
      <c r="D740" s="254" t="s">
        <v>422</v>
      </c>
      <c r="E740" s="254">
        <f>1232*0.5</f>
        <v>616</v>
      </c>
      <c r="F740" s="254">
        <v>1</v>
      </c>
      <c r="G740" s="254">
        <f t="shared" ref="G740:G748" si="250">ROUND(E740*F740,2)</f>
        <v>616</v>
      </c>
      <c r="H740" s="303"/>
      <c r="I740" s="299">
        <v>98.67</v>
      </c>
      <c r="J740" s="300">
        <v>1.9442999999999999</v>
      </c>
      <c r="K740" s="299">
        <f t="shared" ref="K740:K746" si="251">ROUND(I740*J740,2)</f>
        <v>191.84</v>
      </c>
      <c r="L740" s="301">
        <f t="shared" ref="L740:L746" si="252">ROUND(K740*G740,2)</f>
        <v>118173.44</v>
      </c>
      <c r="M740" s="154">
        <f t="shared" ref="M740:M746" si="253">ROUND(L740*0.2,2)</f>
        <v>23634.69</v>
      </c>
      <c r="N740" s="73">
        <f t="shared" ref="N740:N746" si="254">ROUND(L740+M740,2)</f>
        <v>141808.13</v>
      </c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64"/>
      <c r="Z740" s="77">
        <v>66671.28</v>
      </c>
      <c r="AA740" s="18">
        <v>33304.28</v>
      </c>
      <c r="AB740" s="22">
        <f>15*26/100</f>
        <v>3.9</v>
      </c>
      <c r="AC740" s="22" t="s">
        <v>333</v>
      </c>
      <c r="AD740" s="22"/>
    </row>
    <row r="741" spans="1:30" s="20" customFormat="1" ht="51" hidden="1" x14ac:dyDescent="0.2">
      <c r="A741" s="335">
        <f t="shared" si="249"/>
        <v>608</v>
      </c>
      <c r="B741" s="257" t="s">
        <v>468</v>
      </c>
      <c r="C741" s="367" t="s">
        <v>469</v>
      </c>
      <c r="D741" s="254" t="s">
        <v>411</v>
      </c>
      <c r="E741" s="254">
        <f>0.26*50</f>
        <v>13</v>
      </c>
      <c r="F741" s="254">
        <v>2</v>
      </c>
      <c r="G741" s="254">
        <f t="shared" si="250"/>
        <v>26</v>
      </c>
      <c r="H741" s="303"/>
      <c r="I741" s="299">
        <v>531.04</v>
      </c>
      <c r="J741" s="300">
        <v>1.9442999999999999</v>
      </c>
      <c r="K741" s="299">
        <f t="shared" si="251"/>
        <v>1032.5</v>
      </c>
      <c r="L741" s="301">
        <f t="shared" si="252"/>
        <v>26845</v>
      </c>
      <c r="M741" s="154">
        <f t="shared" si="253"/>
        <v>5369</v>
      </c>
      <c r="N741" s="73">
        <f t="shared" si="254"/>
        <v>32214</v>
      </c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64"/>
      <c r="Z741" s="77">
        <v>161949.47999999998</v>
      </c>
      <c r="AA741" s="18">
        <v>161780.1</v>
      </c>
      <c r="AB741" s="22">
        <f>2618/100</f>
        <v>26.18</v>
      </c>
      <c r="AC741" s="22" t="s">
        <v>334</v>
      </c>
      <c r="AD741" s="22"/>
    </row>
    <row r="742" spans="1:30" s="20" customFormat="1" ht="51" hidden="1" x14ac:dyDescent="0.2">
      <c r="A742" s="335">
        <f t="shared" si="249"/>
        <v>609</v>
      </c>
      <c r="B742" s="257" t="s">
        <v>470</v>
      </c>
      <c r="C742" s="374" t="s">
        <v>471</v>
      </c>
      <c r="D742" s="254" t="s">
        <v>433</v>
      </c>
      <c r="E742" s="254">
        <f>2618</f>
        <v>2618</v>
      </c>
      <c r="F742" s="254">
        <v>2</v>
      </c>
      <c r="G742" s="254">
        <f t="shared" si="250"/>
        <v>5236</v>
      </c>
      <c r="H742" s="303"/>
      <c r="I742" s="299">
        <v>2.89</v>
      </c>
      <c r="J742" s="300">
        <v>1.9442999999999999</v>
      </c>
      <c r="K742" s="299">
        <f t="shared" si="251"/>
        <v>5.62</v>
      </c>
      <c r="L742" s="301">
        <f t="shared" si="252"/>
        <v>29426.32</v>
      </c>
      <c r="M742" s="154">
        <f t="shared" si="253"/>
        <v>5885.26</v>
      </c>
      <c r="N742" s="73">
        <f t="shared" si="254"/>
        <v>35311.58</v>
      </c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64"/>
      <c r="Z742" s="77"/>
      <c r="AA742" s="18"/>
      <c r="AB742" s="22"/>
      <c r="AC742" s="22"/>
      <c r="AD742" s="22"/>
    </row>
    <row r="743" spans="1:30" s="20" customFormat="1" ht="51" hidden="1" x14ac:dyDescent="0.2">
      <c r="A743" s="335">
        <f t="shared" si="249"/>
        <v>610</v>
      </c>
      <c r="B743" s="257" t="s">
        <v>472</v>
      </c>
      <c r="C743" s="374" t="s">
        <v>473</v>
      </c>
      <c r="D743" s="254" t="s">
        <v>422</v>
      </c>
      <c r="E743" s="254">
        <v>150</v>
      </c>
      <c r="F743" s="254">
        <v>1</v>
      </c>
      <c r="G743" s="254">
        <f t="shared" si="250"/>
        <v>150</v>
      </c>
      <c r="H743" s="303"/>
      <c r="I743" s="299">
        <v>101.02</v>
      </c>
      <c r="J743" s="300">
        <v>1.9442999999999999</v>
      </c>
      <c r="K743" s="299">
        <f t="shared" si="251"/>
        <v>196.41</v>
      </c>
      <c r="L743" s="301">
        <f t="shared" si="252"/>
        <v>29461.5</v>
      </c>
      <c r="M743" s="154">
        <f t="shared" si="253"/>
        <v>5892.3</v>
      </c>
      <c r="N743" s="73">
        <f t="shared" si="254"/>
        <v>35353.800000000003</v>
      </c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64"/>
      <c r="Z743" s="77"/>
      <c r="AA743" s="18"/>
      <c r="AB743" s="22"/>
      <c r="AC743" s="22"/>
      <c r="AD743" s="22"/>
    </row>
    <row r="744" spans="1:30" s="20" customFormat="1" ht="51" hidden="1" x14ac:dyDescent="0.2">
      <c r="A744" s="335">
        <f t="shared" si="249"/>
        <v>611</v>
      </c>
      <c r="B744" s="257" t="s">
        <v>474</v>
      </c>
      <c r="C744" s="369" t="s">
        <v>475</v>
      </c>
      <c r="D744" s="254" t="s">
        <v>433</v>
      </c>
      <c r="E744" s="254">
        <v>2618</v>
      </c>
      <c r="F744" s="254">
        <v>3</v>
      </c>
      <c r="G744" s="254">
        <f t="shared" si="250"/>
        <v>7854</v>
      </c>
      <c r="H744" s="303"/>
      <c r="I744" s="299">
        <v>0.57999999999999996</v>
      </c>
      <c r="J744" s="300">
        <v>1.9442999999999999</v>
      </c>
      <c r="K744" s="299">
        <f t="shared" si="251"/>
        <v>1.1299999999999999</v>
      </c>
      <c r="L744" s="301">
        <f t="shared" si="252"/>
        <v>8875.02</v>
      </c>
      <c r="M744" s="154">
        <f t="shared" si="253"/>
        <v>1775</v>
      </c>
      <c r="N744" s="73">
        <f t="shared" si="254"/>
        <v>10650.02</v>
      </c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64"/>
      <c r="Z744" s="77"/>
      <c r="AA744" s="18"/>
      <c r="AB744" s="22"/>
      <c r="AC744" s="22"/>
      <c r="AD744" s="22"/>
    </row>
    <row r="745" spans="1:30" s="20" customFormat="1" ht="51" hidden="1" x14ac:dyDescent="0.2">
      <c r="A745" s="335">
        <f t="shared" si="249"/>
        <v>612</v>
      </c>
      <c r="B745" s="257" t="s">
        <v>476</v>
      </c>
      <c r="C745" s="369" t="s">
        <v>477</v>
      </c>
      <c r="D745" s="254" t="s">
        <v>433</v>
      </c>
      <c r="E745" s="254">
        <v>50</v>
      </c>
      <c r="F745" s="254">
        <v>1</v>
      </c>
      <c r="G745" s="254">
        <f t="shared" si="250"/>
        <v>50</v>
      </c>
      <c r="H745" s="303"/>
      <c r="I745" s="299">
        <v>382.85</v>
      </c>
      <c r="J745" s="300">
        <v>1.9442999999999999</v>
      </c>
      <c r="K745" s="299">
        <f t="shared" si="251"/>
        <v>744.38</v>
      </c>
      <c r="L745" s="301">
        <f t="shared" si="252"/>
        <v>37219</v>
      </c>
      <c r="M745" s="154">
        <f t="shared" si="253"/>
        <v>7443.8</v>
      </c>
      <c r="N745" s="73">
        <f t="shared" si="254"/>
        <v>44662.8</v>
      </c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64"/>
      <c r="Z745" s="77"/>
      <c r="AA745" s="18"/>
      <c r="AB745" s="22"/>
      <c r="AC745" s="22"/>
      <c r="AD745" s="22"/>
    </row>
    <row r="746" spans="1:30" s="20" customFormat="1" ht="51" hidden="1" x14ac:dyDescent="0.2">
      <c r="A746" s="335">
        <f t="shared" si="249"/>
        <v>613</v>
      </c>
      <c r="B746" s="257" t="s">
        <v>478</v>
      </c>
      <c r="C746" s="369" t="s">
        <v>479</v>
      </c>
      <c r="D746" s="254" t="s">
        <v>422</v>
      </c>
      <c r="E746" s="254">
        <v>100</v>
      </c>
      <c r="F746" s="254">
        <v>1</v>
      </c>
      <c r="G746" s="254">
        <f t="shared" si="250"/>
        <v>100</v>
      </c>
      <c r="H746" s="303"/>
      <c r="I746" s="299">
        <v>209.02</v>
      </c>
      <c r="J746" s="300">
        <v>1.9442999999999999</v>
      </c>
      <c r="K746" s="299">
        <f t="shared" si="251"/>
        <v>406.4</v>
      </c>
      <c r="L746" s="301">
        <f t="shared" si="252"/>
        <v>40640</v>
      </c>
      <c r="M746" s="154">
        <f t="shared" si="253"/>
        <v>8128</v>
      </c>
      <c r="N746" s="73">
        <f t="shared" si="254"/>
        <v>48768</v>
      </c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64"/>
      <c r="Z746" s="77"/>
      <c r="AA746" s="18"/>
      <c r="AB746" s="22"/>
      <c r="AC746" s="22"/>
      <c r="AD746" s="22"/>
    </row>
    <row r="747" spans="1:30" s="20" customFormat="1" ht="63.75" hidden="1" x14ac:dyDescent="0.2">
      <c r="A747" s="335">
        <f t="shared" si="249"/>
        <v>614</v>
      </c>
      <c r="B747" s="257" t="s">
        <v>480</v>
      </c>
      <c r="C747" s="369" t="s">
        <v>509</v>
      </c>
      <c r="D747" s="254" t="s">
        <v>507</v>
      </c>
      <c r="E747" s="254">
        <v>4</v>
      </c>
      <c r="F747" s="254">
        <v>3</v>
      </c>
      <c r="G747" s="254">
        <f t="shared" si="250"/>
        <v>12</v>
      </c>
      <c r="H747" s="254"/>
      <c r="I747" s="299">
        <v>4248.72</v>
      </c>
      <c r="J747" s="300">
        <v>1.9442999999999999</v>
      </c>
      <c r="K747" s="299">
        <f>ROUND(I747*J747,2)</f>
        <v>8260.7900000000009</v>
      </c>
      <c r="L747" s="301">
        <f>ROUND(K747*G747,2)</f>
        <v>99129.48</v>
      </c>
      <c r="M747" s="154">
        <f>ROUND(L747*0.2,2)</f>
        <v>19825.900000000001</v>
      </c>
      <c r="N747" s="73">
        <f>ROUND(L747+M747,2)</f>
        <v>118955.38</v>
      </c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64"/>
      <c r="Z747" s="77"/>
      <c r="AA747" s="18"/>
      <c r="AB747" s="22"/>
      <c r="AC747" s="22"/>
      <c r="AD747" s="22"/>
    </row>
    <row r="748" spans="1:30" s="20" customFormat="1" ht="38.25" hidden="1" x14ac:dyDescent="0.2">
      <c r="A748" s="335">
        <f t="shared" si="249"/>
        <v>615</v>
      </c>
      <c r="B748" s="222" t="s">
        <v>480</v>
      </c>
      <c r="C748" s="367" t="s">
        <v>518</v>
      </c>
      <c r="D748" s="314" t="s">
        <v>508</v>
      </c>
      <c r="E748" s="297">
        <v>1</v>
      </c>
      <c r="F748" s="297">
        <v>92</v>
      </c>
      <c r="G748" s="297">
        <f t="shared" si="250"/>
        <v>92</v>
      </c>
      <c r="H748" s="254"/>
      <c r="I748" s="299">
        <v>535.76</v>
      </c>
      <c r="J748" s="308">
        <v>1</v>
      </c>
      <c r="K748" s="299">
        <f>ROUND(I748*J748,2)</f>
        <v>535.76</v>
      </c>
      <c r="L748" s="301">
        <f>ROUND(K748*G748,2)</f>
        <v>49289.919999999998</v>
      </c>
      <c r="M748" s="154">
        <f>ROUND(L748*0.2,2)</f>
        <v>9857.98</v>
      </c>
      <c r="N748" s="73">
        <f>ROUND(M748+L748,2)</f>
        <v>59147.9</v>
      </c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64"/>
      <c r="Z748" s="77"/>
      <c r="AA748" s="18"/>
      <c r="AB748" s="22"/>
      <c r="AC748" s="22"/>
      <c r="AD748" s="22"/>
    </row>
    <row r="749" spans="1:30" s="20" customFormat="1" ht="12.75" hidden="1" x14ac:dyDescent="0.2">
      <c r="A749" s="335"/>
      <c r="B749" s="257"/>
      <c r="C749" s="247" t="s">
        <v>88</v>
      </c>
      <c r="D749" s="254"/>
      <c r="E749" s="254"/>
      <c r="F749" s="254"/>
      <c r="G749" s="254"/>
      <c r="H749" s="254"/>
      <c r="I749" s="299"/>
      <c r="J749" s="300"/>
      <c r="K749" s="299"/>
      <c r="L749" s="301"/>
      <c r="M749" s="154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64"/>
      <c r="Z749" s="77"/>
      <c r="AA749" s="18"/>
      <c r="AB749" s="22"/>
      <c r="AC749" s="22"/>
      <c r="AD749" s="22"/>
    </row>
    <row r="750" spans="1:30" s="20" customFormat="1" ht="76.5" hidden="1" x14ac:dyDescent="0.2">
      <c r="A750" s="335">
        <f>A748+1</f>
        <v>616</v>
      </c>
      <c r="B750" s="257" t="s">
        <v>170</v>
      </c>
      <c r="C750" s="367" t="s">
        <v>171</v>
      </c>
      <c r="D750" s="254" t="s">
        <v>422</v>
      </c>
      <c r="E750" s="254">
        <v>800</v>
      </c>
      <c r="F750" s="254">
        <v>3</v>
      </c>
      <c r="G750" s="254">
        <f>ROUND(E750*F750,2)</f>
        <v>2400</v>
      </c>
      <c r="H750" s="254"/>
      <c r="I750" s="299">
        <v>12.79</v>
      </c>
      <c r="J750" s="300">
        <v>1.9442999999999999</v>
      </c>
      <c r="K750" s="299">
        <f>ROUND(I750*J750,2)</f>
        <v>24.87</v>
      </c>
      <c r="L750" s="301">
        <f>ROUND(K750*G750,2)</f>
        <v>59688</v>
      </c>
      <c r="M750" s="154">
        <f>ROUND(L750*0.2,2)</f>
        <v>11937.6</v>
      </c>
      <c r="N750" s="73">
        <f>ROUND(L750+M750,2)</f>
        <v>71625.600000000006</v>
      </c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64"/>
      <c r="Z750" s="77"/>
      <c r="AA750" s="18"/>
      <c r="AB750" s="22"/>
      <c r="AC750" s="22"/>
      <c r="AD750" s="22"/>
    </row>
    <row r="751" spans="1:30" s="20" customFormat="1" ht="25.5" hidden="1" x14ac:dyDescent="0.2">
      <c r="A751" s="335"/>
      <c r="B751" s="366"/>
      <c r="C751" s="247" t="s">
        <v>141</v>
      </c>
      <c r="D751" s="229"/>
      <c r="E751" s="254"/>
      <c r="F751" s="254"/>
      <c r="G751" s="254"/>
      <c r="H751" s="254"/>
      <c r="I751" s="299"/>
      <c r="J751" s="300"/>
      <c r="K751" s="299"/>
      <c r="L751" s="301"/>
      <c r="M751" s="154"/>
      <c r="N751" s="73"/>
      <c r="O751" s="551">
        <v>4486527.75</v>
      </c>
      <c r="P751" s="517"/>
      <c r="Q751" s="517"/>
      <c r="R751" s="517"/>
      <c r="S751" s="517"/>
      <c r="T751" s="517"/>
      <c r="U751" s="517"/>
      <c r="V751" s="517"/>
      <c r="W751" s="517"/>
      <c r="X751" s="517"/>
      <c r="Y751" s="194">
        <f>SUM(N752:N773)</f>
        <v>7331737.1000000006</v>
      </c>
      <c r="Z751" s="77"/>
      <c r="AA751" s="18"/>
      <c r="AB751" s="22"/>
      <c r="AC751" s="22"/>
      <c r="AD751" s="22"/>
    </row>
    <row r="752" spans="1:30" s="20" customFormat="1" ht="76.5" hidden="1" x14ac:dyDescent="0.2">
      <c r="A752" s="335">
        <f>A750+1</f>
        <v>617</v>
      </c>
      <c r="B752" s="366" t="s">
        <v>172</v>
      </c>
      <c r="C752" s="367" t="s">
        <v>294</v>
      </c>
      <c r="D752" s="254" t="s">
        <v>354</v>
      </c>
      <c r="E752" s="254">
        <v>137.52000000000001</v>
      </c>
      <c r="F752" s="254">
        <v>6</v>
      </c>
      <c r="G752" s="254">
        <f>ROUND(E752*F752,2)</f>
        <v>825.12</v>
      </c>
      <c r="H752" s="254"/>
      <c r="I752" s="299">
        <v>35.01</v>
      </c>
      <c r="J752" s="300">
        <v>1.9442999999999999</v>
      </c>
      <c r="K752" s="299">
        <f>ROUND(I752*J752,2)</f>
        <v>68.069999999999993</v>
      </c>
      <c r="L752" s="301">
        <f t="shared" ref="L752:L773" si="255">ROUND(K752*G752,2)</f>
        <v>56165.919999999998</v>
      </c>
      <c r="M752" s="154">
        <f>ROUND(L752*0.2,2)</f>
        <v>11233.18</v>
      </c>
      <c r="N752" s="73">
        <f>ROUND(L752+M752,2)</f>
        <v>67399.100000000006</v>
      </c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64"/>
      <c r="Z752" s="77">
        <v>131251.20000000001</v>
      </c>
      <c r="AA752" s="18">
        <v>65545.600000000006</v>
      </c>
      <c r="AB752" s="22"/>
      <c r="AC752" s="22"/>
      <c r="AD752" s="22"/>
    </row>
    <row r="753" spans="1:30" s="20" customFormat="1" ht="76.5" hidden="1" x14ac:dyDescent="0.2">
      <c r="A753" s="335">
        <f t="shared" ref="A753:A773" si="256">A752+1</f>
        <v>618</v>
      </c>
      <c r="B753" s="366" t="s">
        <v>174</v>
      </c>
      <c r="C753" s="367" t="s">
        <v>113</v>
      </c>
      <c r="D753" s="254" t="s">
        <v>354</v>
      </c>
      <c r="E753" s="254">
        <v>507.57799999999997</v>
      </c>
      <c r="F753" s="254">
        <v>6</v>
      </c>
      <c r="G753" s="254">
        <f t="shared" ref="G753:G771" si="257">ROUND(E753*F753,2)</f>
        <v>3045.47</v>
      </c>
      <c r="H753" s="254"/>
      <c r="I753" s="299">
        <v>101.44</v>
      </c>
      <c r="J753" s="300">
        <v>1.9442999999999999</v>
      </c>
      <c r="K753" s="299">
        <f t="shared" ref="K753:K760" si="258">ROUND(I753*J753,2)</f>
        <v>197.23</v>
      </c>
      <c r="L753" s="301">
        <f t="shared" si="255"/>
        <v>600658.05000000005</v>
      </c>
      <c r="M753" s="154">
        <f t="shared" ref="M753:M760" si="259">ROUND(L753*0.2,2)</f>
        <v>120131.61</v>
      </c>
      <c r="N753" s="73">
        <f t="shared" ref="N753:N760" si="260">ROUND(L753+M753,2)</f>
        <v>720789.66</v>
      </c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64"/>
      <c r="Z753" s="77"/>
      <c r="AA753" s="18"/>
      <c r="AB753" s="22"/>
      <c r="AC753" s="22"/>
      <c r="AD753" s="22"/>
    </row>
    <row r="754" spans="1:30" s="20" customFormat="1" ht="76.5" hidden="1" x14ac:dyDescent="0.2">
      <c r="A754" s="335">
        <f t="shared" si="256"/>
        <v>619</v>
      </c>
      <c r="B754" s="366" t="s">
        <v>175</v>
      </c>
      <c r="C754" s="367" t="s">
        <v>176</v>
      </c>
      <c r="D754" s="254" t="s">
        <v>354</v>
      </c>
      <c r="E754" s="254">
        <v>59.991999999999997</v>
      </c>
      <c r="F754" s="254">
        <v>5</v>
      </c>
      <c r="G754" s="254">
        <f t="shared" si="257"/>
        <v>299.95999999999998</v>
      </c>
      <c r="H754" s="254"/>
      <c r="I754" s="299">
        <v>100.49</v>
      </c>
      <c r="J754" s="300">
        <v>1.9442999999999999</v>
      </c>
      <c r="K754" s="299">
        <f t="shared" si="258"/>
        <v>195.38</v>
      </c>
      <c r="L754" s="301">
        <f t="shared" si="255"/>
        <v>58606.18</v>
      </c>
      <c r="M754" s="154">
        <f t="shared" si="259"/>
        <v>11721.24</v>
      </c>
      <c r="N754" s="73">
        <f t="shared" si="260"/>
        <v>70327.42</v>
      </c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64"/>
      <c r="Z754" s="77"/>
      <c r="AA754" s="18"/>
      <c r="AB754" s="22"/>
      <c r="AC754" s="22"/>
      <c r="AD754" s="22"/>
    </row>
    <row r="755" spans="1:30" s="20" customFormat="1" ht="76.5" hidden="1" x14ac:dyDescent="0.2">
      <c r="A755" s="335">
        <f t="shared" si="256"/>
        <v>620</v>
      </c>
      <c r="B755" s="366" t="s">
        <v>295</v>
      </c>
      <c r="C755" s="367" t="s">
        <v>178</v>
      </c>
      <c r="D755" s="254" t="s">
        <v>432</v>
      </c>
      <c r="E755" s="254">
        <v>1067.896</v>
      </c>
      <c r="F755" s="254">
        <v>6</v>
      </c>
      <c r="G755" s="254">
        <f t="shared" si="257"/>
        <v>6407.38</v>
      </c>
      <c r="H755" s="254"/>
      <c r="I755" s="299">
        <v>126.79</v>
      </c>
      <c r="J755" s="300">
        <v>1.9442999999999999</v>
      </c>
      <c r="K755" s="299">
        <f t="shared" si="258"/>
        <v>246.52</v>
      </c>
      <c r="L755" s="301">
        <f t="shared" si="255"/>
        <v>1579547.32</v>
      </c>
      <c r="M755" s="154">
        <f t="shared" si="259"/>
        <v>315909.46000000002</v>
      </c>
      <c r="N755" s="73">
        <f t="shared" si="260"/>
        <v>1895456.78</v>
      </c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64"/>
      <c r="Z755" s="77"/>
      <c r="AA755" s="18"/>
      <c r="AB755" s="22"/>
      <c r="AC755" s="22"/>
      <c r="AD755" s="22"/>
    </row>
    <row r="756" spans="1:30" s="20" customFormat="1" ht="63.75" hidden="1" x14ac:dyDescent="0.2">
      <c r="A756" s="335">
        <f t="shared" si="256"/>
        <v>621</v>
      </c>
      <c r="B756" s="366" t="s">
        <v>297</v>
      </c>
      <c r="C756" s="367" t="s">
        <v>296</v>
      </c>
      <c r="D756" s="254" t="s">
        <v>432</v>
      </c>
      <c r="E756" s="254">
        <v>179.976</v>
      </c>
      <c r="F756" s="254">
        <v>5</v>
      </c>
      <c r="G756" s="254">
        <f t="shared" si="257"/>
        <v>899.88</v>
      </c>
      <c r="H756" s="254"/>
      <c r="I756" s="299">
        <v>57.42</v>
      </c>
      <c r="J756" s="300">
        <v>1.9442999999999999</v>
      </c>
      <c r="K756" s="299">
        <f t="shared" si="258"/>
        <v>111.64</v>
      </c>
      <c r="L756" s="301">
        <f t="shared" si="255"/>
        <v>100462.6</v>
      </c>
      <c r="M756" s="154">
        <f t="shared" si="259"/>
        <v>20092.52</v>
      </c>
      <c r="N756" s="73">
        <f t="shared" si="260"/>
        <v>120555.12</v>
      </c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64"/>
      <c r="Z756" s="77"/>
      <c r="AA756" s="18"/>
      <c r="AB756" s="22"/>
      <c r="AC756" s="22"/>
      <c r="AD756" s="22"/>
    </row>
    <row r="757" spans="1:30" s="20" customFormat="1" ht="76.5" hidden="1" x14ac:dyDescent="0.2">
      <c r="A757" s="335">
        <f t="shared" si="256"/>
        <v>622</v>
      </c>
      <c r="B757" s="366" t="s">
        <v>525</v>
      </c>
      <c r="C757" s="367" t="s">
        <v>298</v>
      </c>
      <c r="D757" s="254" t="s">
        <v>432</v>
      </c>
      <c r="E757" s="254">
        <v>593.32100000000003</v>
      </c>
      <c r="F757" s="254">
        <v>6</v>
      </c>
      <c r="G757" s="254">
        <f t="shared" si="257"/>
        <v>3559.93</v>
      </c>
      <c r="H757" s="254"/>
      <c r="I757" s="299">
        <v>26.46</v>
      </c>
      <c r="J757" s="300">
        <v>1.9442999999999999</v>
      </c>
      <c r="K757" s="299">
        <f t="shared" si="258"/>
        <v>51.45</v>
      </c>
      <c r="L757" s="301">
        <f t="shared" si="255"/>
        <v>183158.39999999999</v>
      </c>
      <c r="M757" s="154">
        <f t="shared" si="259"/>
        <v>36631.68</v>
      </c>
      <c r="N757" s="73">
        <f t="shared" si="260"/>
        <v>219790.07999999999</v>
      </c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64"/>
      <c r="Z757" s="77"/>
      <c r="AA757" s="18"/>
      <c r="AB757" s="22"/>
      <c r="AC757" s="22"/>
      <c r="AD757" s="22"/>
    </row>
    <row r="758" spans="1:30" s="20" customFormat="1" ht="76.5" hidden="1" x14ac:dyDescent="0.2">
      <c r="A758" s="335">
        <f t="shared" si="256"/>
        <v>623</v>
      </c>
      <c r="B758" s="257" t="s">
        <v>232</v>
      </c>
      <c r="C758" s="367" t="s">
        <v>299</v>
      </c>
      <c r="D758" s="254" t="s">
        <v>432</v>
      </c>
      <c r="E758" s="254">
        <v>593.32100000000003</v>
      </c>
      <c r="F758" s="254">
        <v>6</v>
      </c>
      <c r="G758" s="254">
        <f t="shared" si="257"/>
        <v>3559.93</v>
      </c>
      <c r="H758" s="254"/>
      <c r="I758" s="299">
        <v>41.19</v>
      </c>
      <c r="J758" s="300">
        <v>1.9442999999999999</v>
      </c>
      <c r="K758" s="299">
        <f t="shared" si="258"/>
        <v>80.09</v>
      </c>
      <c r="L758" s="301">
        <f t="shared" si="255"/>
        <v>285114.78999999998</v>
      </c>
      <c r="M758" s="154">
        <f t="shared" si="259"/>
        <v>57022.96</v>
      </c>
      <c r="N758" s="73">
        <f t="shared" si="260"/>
        <v>342137.75</v>
      </c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64"/>
      <c r="Z758" s="77"/>
      <c r="AA758" s="18"/>
      <c r="AB758" s="22"/>
      <c r="AC758" s="22"/>
      <c r="AD758" s="22"/>
    </row>
    <row r="759" spans="1:30" s="20" customFormat="1" ht="102" hidden="1" x14ac:dyDescent="0.2">
      <c r="A759" s="335">
        <f t="shared" si="256"/>
        <v>624</v>
      </c>
      <c r="B759" s="366" t="s">
        <v>182</v>
      </c>
      <c r="C759" s="367" t="s">
        <v>300</v>
      </c>
      <c r="D759" s="254" t="s">
        <v>432</v>
      </c>
      <c r="E759" s="254">
        <v>593.32100000000003</v>
      </c>
      <c r="F759" s="254">
        <v>5</v>
      </c>
      <c r="G759" s="254">
        <f t="shared" si="257"/>
        <v>2966.61</v>
      </c>
      <c r="H759" s="254"/>
      <c r="I759" s="299">
        <v>57.06</v>
      </c>
      <c r="J759" s="300">
        <v>1.9442999999999999</v>
      </c>
      <c r="K759" s="299">
        <f t="shared" si="258"/>
        <v>110.94</v>
      </c>
      <c r="L759" s="301">
        <f t="shared" si="255"/>
        <v>329115.71000000002</v>
      </c>
      <c r="M759" s="154">
        <f t="shared" si="259"/>
        <v>65823.14</v>
      </c>
      <c r="N759" s="73">
        <f t="shared" si="260"/>
        <v>394938.85</v>
      </c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64"/>
      <c r="Z759" s="77"/>
      <c r="AA759" s="18"/>
      <c r="AB759" s="22"/>
      <c r="AC759" s="22"/>
      <c r="AD759" s="22"/>
    </row>
    <row r="760" spans="1:30" s="20" customFormat="1" ht="76.5" hidden="1" x14ac:dyDescent="0.2">
      <c r="A760" s="335">
        <f t="shared" si="256"/>
        <v>625</v>
      </c>
      <c r="B760" s="366" t="s">
        <v>182</v>
      </c>
      <c r="C760" s="367" t="s">
        <v>529</v>
      </c>
      <c r="D760" s="254" t="s">
        <v>432</v>
      </c>
      <c r="E760" s="254">
        <v>183.05</v>
      </c>
      <c r="F760" s="254">
        <v>5</v>
      </c>
      <c r="G760" s="254">
        <f t="shared" si="257"/>
        <v>915.25</v>
      </c>
      <c r="H760" s="254"/>
      <c r="I760" s="299">
        <v>57.06</v>
      </c>
      <c r="J760" s="300">
        <v>1.9442999999999999</v>
      </c>
      <c r="K760" s="299">
        <f t="shared" si="258"/>
        <v>110.94</v>
      </c>
      <c r="L760" s="301">
        <f t="shared" si="255"/>
        <v>101537.84</v>
      </c>
      <c r="M760" s="154">
        <f t="shared" si="259"/>
        <v>20307.57</v>
      </c>
      <c r="N760" s="73">
        <f t="shared" si="260"/>
        <v>121845.41</v>
      </c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132">
        <f>N759+N760+N761</f>
        <v>2608548.2999999998</v>
      </c>
      <c r="Z760" s="77"/>
      <c r="AA760" s="18"/>
      <c r="AB760" s="22"/>
      <c r="AC760" s="22"/>
      <c r="AD760" s="22"/>
    </row>
    <row r="761" spans="1:30" s="20" customFormat="1" ht="76.5" hidden="1" x14ac:dyDescent="0.2">
      <c r="A761" s="335">
        <f t="shared" si="256"/>
        <v>626</v>
      </c>
      <c r="B761" s="366" t="s">
        <v>189</v>
      </c>
      <c r="C761" s="367" t="s">
        <v>1</v>
      </c>
      <c r="D761" s="254" t="s">
        <v>355</v>
      </c>
      <c r="E761" s="299">
        <f>(E759+E760)*1000*300/1000/1000</f>
        <v>232.91130000000001</v>
      </c>
      <c r="F761" s="254">
        <v>5</v>
      </c>
      <c r="G761" s="254">
        <f t="shared" si="257"/>
        <v>1164.56</v>
      </c>
      <c r="H761" s="254"/>
      <c r="I761" s="299">
        <v>769.85</v>
      </c>
      <c r="J761" s="300">
        <v>1.9442999999999999</v>
      </c>
      <c r="K761" s="299">
        <f t="shared" ref="K761:K773" si="261">ROUND(I761*J761,2)</f>
        <v>1496.82</v>
      </c>
      <c r="L761" s="301">
        <f t="shared" si="255"/>
        <v>1743136.7</v>
      </c>
      <c r="M761" s="154">
        <f t="shared" ref="M761:M773" si="262">ROUND(L761*0.2,2)</f>
        <v>348627.34</v>
      </c>
      <c r="N761" s="73">
        <f t="shared" ref="N761:N773" si="263">ROUND(L761+M761,2)</f>
        <v>2091764.04</v>
      </c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64"/>
      <c r="Z761" s="77"/>
      <c r="AA761" s="18"/>
      <c r="AB761" s="22"/>
      <c r="AC761" s="22"/>
      <c r="AD761" s="22"/>
    </row>
    <row r="762" spans="1:30" s="20" customFormat="1" ht="76.5" hidden="1" x14ac:dyDescent="0.2">
      <c r="A762" s="335">
        <f t="shared" si="256"/>
        <v>627</v>
      </c>
      <c r="B762" s="366" t="s">
        <v>184</v>
      </c>
      <c r="C762" s="367" t="s">
        <v>114</v>
      </c>
      <c r="D762" s="254" t="s">
        <v>432</v>
      </c>
      <c r="E762" s="254">
        <f>6.315*0.8</f>
        <v>5.0520000000000005</v>
      </c>
      <c r="F762" s="254">
        <v>4</v>
      </c>
      <c r="G762" s="254">
        <f t="shared" si="257"/>
        <v>20.21</v>
      </c>
      <c r="H762" s="254"/>
      <c r="I762" s="299">
        <v>8421.01</v>
      </c>
      <c r="J762" s="300">
        <v>1.9442999999999999</v>
      </c>
      <c r="K762" s="299">
        <f t="shared" si="261"/>
        <v>16372.97</v>
      </c>
      <c r="L762" s="301">
        <f t="shared" si="255"/>
        <v>330897.71999999997</v>
      </c>
      <c r="M762" s="154">
        <f t="shared" si="262"/>
        <v>66179.539999999994</v>
      </c>
      <c r="N762" s="73">
        <f t="shared" si="263"/>
        <v>397077.26</v>
      </c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64"/>
      <c r="Z762" s="77"/>
      <c r="AA762" s="18"/>
      <c r="AB762" s="22"/>
      <c r="AC762" s="22"/>
      <c r="AD762" s="22"/>
    </row>
    <row r="763" spans="1:30" s="20" customFormat="1" ht="76.5" hidden="1" x14ac:dyDescent="0.2">
      <c r="A763" s="335">
        <f t="shared" si="256"/>
        <v>628</v>
      </c>
      <c r="B763" s="366" t="s">
        <v>206</v>
      </c>
      <c r="C763" s="367" t="s">
        <v>92</v>
      </c>
      <c r="D763" s="254" t="s">
        <v>354</v>
      </c>
      <c r="E763" s="254">
        <v>38.845999999999997</v>
      </c>
      <c r="F763" s="254">
        <v>1</v>
      </c>
      <c r="G763" s="254">
        <f t="shared" si="257"/>
        <v>38.85</v>
      </c>
      <c r="H763" s="254"/>
      <c r="I763" s="299">
        <v>234.64</v>
      </c>
      <c r="J763" s="300">
        <v>1.9442999999999999</v>
      </c>
      <c r="K763" s="299">
        <f t="shared" si="261"/>
        <v>456.21</v>
      </c>
      <c r="L763" s="301">
        <f t="shared" si="255"/>
        <v>17723.759999999998</v>
      </c>
      <c r="M763" s="154">
        <f t="shared" si="262"/>
        <v>3544.75</v>
      </c>
      <c r="N763" s="73">
        <f t="shared" si="263"/>
        <v>21268.51</v>
      </c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64"/>
      <c r="Z763" s="77"/>
      <c r="AA763" s="18"/>
      <c r="AB763" s="22"/>
      <c r="AC763" s="22"/>
      <c r="AD763" s="22"/>
    </row>
    <row r="764" spans="1:30" s="20" customFormat="1" ht="76.5" hidden="1" x14ac:dyDescent="0.2">
      <c r="A764" s="335">
        <f t="shared" si="256"/>
        <v>629</v>
      </c>
      <c r="B764" s="366" t="s">
        <v>187</v>
      </c>
      <c r="C764" s="367" t="s">
        <v>93</v>
      </c>
      <c r="D764" s="254" t="s">
        <v>354</v>
      </c>
      <c r="E764" s="254">
        <v>618.1</v>
      </c>
      <c r="F764" s="254">
        <v>1</v>
      </c>
      <c r="G764" s="254">
        <f t="shared" si="257"/>
        <v>618.1</v>
      </c>
      <c r="H764" s="254"/>
      <c r="I764" s="299">
        <v>238.67</v>
      </c>
      <c r="J764" s="300">
        <v>1.9442999999999999</v>
      </c>
      <c r="K764" s="299">
        <f t="shared" si="261"/>
        <v>464.05</v>
      </c>
      <c r="L764" s="301">
        <f t="shared" si="255"/>
        <v>286829.31</v>
      </c>
      <c r="M764" s="154">
        <f t="shared" si="262"/>
        <v>57365.86</v>
      </c>
      <c r="N764" s="73">
        <f t="shared" si="263"/>
        <v>344195.17</v>
      </c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64"/>
      <c r="Z764" s="77"/>
      <c r="AA764" s="18"/>
      <c r="AB764" s="22"/>
      <c r="AC764" s="22"/>
      <c r="AD764" s="22"/>
    </row>
    <row r="765" spans="1:30" s="20" customFormat="1" ht="76.5" hidden="1" x14ac:dyDescent="0.2">
      <c r="A765" s="335">
        <f t="shared" si="256"/>
        <v>630</v>
      </c>
      <c r="B765" s="366" t="s">
        <v>188</v>
      </c>
      <c r="C765" s="367" t="s">
        <v>94</v>
      </c>
      <c r="D765" s="254" t="s">
        <v>422</v>
      </c>
      <c r="E765" s="254">
        <v>344</v>
      </c>
      <c r="F765" s="254">
        <v>1</v>
      </c>
      <c r="G765" s="254">
        <f t="shared" si="257"/>
        <v>344</v>
      </c>
      <c r="H765" s="254"/>
      <c r="I765" s="299">
        <v>6.22</v>
      </c>
      <c r="J765" s="300">
        <v>1.9442999999999999</v>
      </c>
      <c r="K765" s="299">
        <f t="shared" si="261"/>
        <v>12.09</v>
      </c>
      <c r="L765" s="301">
        <f t="shared" si="255"/>
        <v>4158.96</v>
      </c>
      <c r="M765" s="154">
        <f t="shared" si="262"/>
        <v>831.79</v>
      </c>
      <c r="N765" s="73">
        <f t="shared" si="263"/>
        <v>4990.75</v>
      </c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64"/>
      <c r="Z765" s="77"/>
      <c r="AA765" s="18"/>
      <c r="AB765" s="22"/>
      <c r="AC765" s="22"/>
      <c r="AD765" s="22"/>
    </row>
    <row r="766" spans="1:30" s="20" customFormat="1" ht="51" hidden="1" x14ac:dyDescent="0.2">
      <c r="A766" s="335">
        <f t="shared" si="256"/>
        <v>631</v>
      </c>
      <c r="B766" s="366" t="s">
        <v>482</v>
      </c>
      <c r="C766" s="367" t="s">
        <v>483</v>
      </c>
      <c r="D766" s="254" t="s">
        <v>422</v>
      </c>
      <c r="E766" s="254">
        <v>120</v>
      </c>
      <c r="F766" s="254">
        <v>1</v>
      </c>
      <c r="G766" s="254">
        <f t="shared" si="257"/>
        <v>120</v>
      </c>
      <c r="H766" s="254"/>
      <c r="I766" s="299">
        <v>134.49</v>
      </c>
      <c r="J766" s="300">
        <v>1.9442999999999999</v>
      </c>
      <c r="K766" s="299">
        <f t="shared" si="261"/>
        <v>261.49</v>
      </c>
      <c r="L766" s="301">
        <f t="shared" si="255"/>
        <v>31378.799999999999</v>
      </c>
      <c r="M766" s="154">
        <f t="shared" si="262"/>
        <v>6275.76</v>
      </c>
      <c r="N766" s="73">
        <f t="shared" si="263"/>
        <v>37654.559999999998</v>
      </c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64"/>
      <c r="Z766" s="77"/>
      <c r="AA766" s="18"/>
      <c r="AB766" s="22"/>
      <c r="AC766" s="22"/>
      <c r="AD766" s="22"/>
    </row>
    <row r="767" spans="1:30" s="20" customFormat="1" ht="76.5" hidden="1" x14ac:dyDescent="0.2">
      <c r="A767" s="335">
        <f t="shared" si="256"/>
        <v>632</v>
      </c>
      <c r="B767" s="366" t="s">
        <v>170</v>
      </c>
      <c r="C767" s="367" t="s">
        <v>370</v>
      </c>
      <c r="D767" s="254" t="s">
        <v>422</v>
      </c>
      <c r="E767" s="254">
        <v>533</v>
      </c>
      <c r="F767" s="254">
        <v>3</v>
      </c>
      <c r="G767" s="254">
        <f t="shared" si="257"/>
        <v>1599</v>
      </c>
      <c r="H767" s="254"/>
      <c r="I767" s="299">
        <v>12.79</v>
      </c>
      <c r="J767" s="300">
        <v>1.9442999999999999</v>
      </c>
      <c r="K767" s="299">
        <f t="shared" si="261"/>
        <v>24.87</v>
      </c>
      <c r="L767" s="301">
        <f t="shared" si="255"/>
        <v>39767.129999999997</v>
      </c>
      <c r="M767" s="154">
        <f t="shared" si="262"/>
        <v>7953.43</v>
      </c>
      <c r="N767" s="73">
        <f t="shared" si="263"/>
        <v>47720.56</v>
      </c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64"/>
      <c r="Z767" s="77"/>
      <c r="AA767" s="18"/>
      <c r="AB767" s="22"/>
      <c r="AC767" s="22"/>
      <c r="AD767" s="22"/>
    </row>
    <row r="768" spans="1:30" s="20" customFormat="1" ht="51" hidden="1" x14ac:dyDescent="0.2">
      <c r="A768" s="335">
        <f t="shared" si="256"/>
        <v>633</v>
      </c>
      <c r="B768" s="366" t="s">
        <v>484</v>
      </c>
      <c r="C768" s="369" t="s">
        <v>485</v>
      </c>
      <c r="D768" s="254" t="s">
        <v>422</v>
      </c>
      <c r="E768" s="254">
        <v>1077</v>
      </c>
      <c r="F768" s="254">
        <v>1</v>
      </c>
      <c r="G768" s="254">
        <f t="shared" si="257"/>
        <v>1077</v>
      </c>
      <c r="H768" s="254"/>
      <c r="I768" s="299">
        <v>10.81</v>
      </c>
      <c r="J768" s="300">
        <v>1.9442999999999999</v>
      </c>
      <c r="K768" s="299">
        <f t="shared" si="261"/>
        <v>21.02</v>
      </c>
      <c r="L768" s="301">
        <f t="shared" si="255"/>
        <v>22638.54</v>
      </c>
      <c r="M768" s="154">
        <f t="shared" si="262"/>
        <v>4527.71</v>
      </c>
      <c r="N768" s="73">
        <f t="shared" si="263"/>
        <v>27166.25</v>
      </c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64"/>
      <c r="Z768" s="77"/>
      <c r="AA768" s="18"/>
      <c r="AB768" s="22"/>
      <c r="AC768" s="22"/>
      <c r="AD768" s="22"/>
    </row>
    <row r="769" spans="1:30" s="20" customFormat="1" ht="51" hidden="1" x14ac:dyDescent="0.2">
      <c r="A769" s="335">
        <f t="shared" si="256"/>
        <v>634</v>
      </c>
      <c r="B769" s="370" t="s">
        <v>486</v>
      </c>
      <c r="C769" s="367" t="s">
        <v>487</v>
      </c>
      <c r="D769" s="254" t="s">
        <v>422</v>
      </c>
      <c r="E769" s="254">
        <v>616</v>
      </c>
      <c r="F769" s="254">
        <v>2</v>
      </c>
      <c r="G769" s="254">
        <f t="shared" si="257"/>
        <v>1232</v>
      </c>
      <c r="H769" s="254"/>
      <c r="I769" s="299">
        <v>8.8800000000000008</v>
      </c>
      <c r="J769" s="300">
        <v>1.9442999999999999</v>
      </c>
      <c r="K769" s="299">
        <f t="shared" si="261"/>
        <v>17.27</v>
      </c>
      <c r="L769" s="301">
        <f t="shared" si="255"/>
        <v>21276.639999999999</v>
      </c>
      <c r="M769" s="154">
        <f t="shared" si="262"/>
        <v>4255.33</v>
      </c>
      <c r="N769" s="73">
        <f t="shared" si="263"/>
        <v>25531.97</v>
      </c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64"/>
      <c r="Z769" s="77"/>
      <c r="AA769" s="18"/>
      <c r="AB769" s="22"/>
      <c r="AC769" s="22"/>
      <c r="AD769" s="22"/>
    </row>
    <row r="770" spans="1:30" s="20" customFormat="1" ht="51" hidden="1" x14ac:dyDescent="0.2">
      <c r="A770" s="335">
        <f t="shared" si="256"/>
        <v>635</v>
      </c>
      <c r="B770" s="366" t="s">
        <v>488</v>
      </c>
      <c r="C770" s="367" t="s">
        <v>489</v>
      </c>
      <c r="D770" s="254" t="s">
        <v>433</v>
      </c>
      <c r="E770" s="254">
        <v>2618</v>
      </c>
      <c r="F770" s="254">
        <v>2</v>
      </c>
      <c r="G770" s="254">
        <f t="shared" si="257"/>
        <v>5236</v>
      </c>
      <c r="H770" s="254"/>
      <c r="I770" s="299">
        <v>1.99</v>
      </c>
      <c r="J770" s="300">
        <v>1.9442999999999999</v>
      </c>
      <c r="K770" s="299">
        <f t="shared" si="261"/>
        <v>3.87</v>
      </c>
      <c r="L770" s="301">
        <f t="shared" si="255"/>
        <v>20263.32</v>
      </c>
      <c r="M770" s="154">
        <f t="shared" si="262"/>
        <v>4052.66</v>
      </c>
      <c r="N770" s="73">
        <f t="shared" si="263"/>
        <v>24315.98</v>
      </c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64"/>
      <c r="Z770" s="77"/>
      <c r="AA770" s="18"/>
      <c r="AB770" s="22"/>
      <c r="AC770" s="22"/>
      <c r="AD770" s="22"/>
    </row>
    <row r="771" spans="1:30" s="20" customFormat="1" ht="51" hidden="1" x14ac:dyDescent="0.2">
      <c r="A771" s="335">
        <f t="shared" si="256"/>
        <v>636</v>
      </c>
      <c r="B771" s="366" t="s">
        <v>490</v>
      </c>
      <c r="C771" s="367" t="s">
        <v>491</v>
      </c>
      <c r="D771" s="254" t="s">
        <v>433</v>
      </c>
      <c r="E771" s="254">
        <v>2618</v>
      </c>
      <c r="F771" s="254">
        <v>2</v>
      </c>
      <c r="G771" s="254">
        <f t="shared" si="257"/>
        <v>5236</v>
      </c>
      <c r="H771" s="254"/>
      <c r="I771" s="299">
        <v>4.8899999999999997</v>
      </c>
      <c r="J771" s="300">
        <v>1.9442999999999999</v>
      </c>
      <c r="K771" s="299">
        <f t="shared" si="261"/>
        <v>9.51</v>
      </c>
      <c r="L771" s="301">
        <f t="shared" si="255"/>
        <v>49794.36</v>
      </c>
      <c r="M771" s="154">
        <f t="shared" si="262"/>
        <v>9958.8700000000008</v>
      </c>
      <c r="N771" s="73">
        <f t="shared" si="263"/>
        <v>59753.23</v>
      </c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64"/>
      <c r="Z771" s="77"/>
      <c r="AA771" s="18"/>
      <c r="AB771" s="22"/>
      <c r="AC771" s="22"/>
      <c r="AD771" s="22"/>
    </row>
    <row r="772" spans="1:30" s="20" customFormat="1" ht="63.75" hidden="1" x14ac:dyDescent="0.2">
      <c r="A772" s="335">
        <f t="shared" si="256"/>
        <v>637</v>
      </c>
      <c r="B772" s="220" t="s">
        <v>480</v>
      </c>
      <c r="C772" s="368" t="s">
        <v>512</v>
      </c>
      <c r="D772" s="254" t="s">
        <v>507</v>
      </c>
      <c r="E772" s="254">
        <v>8</v>
      </c>
      <c r="F772" s="254">
        <v>3</v>
      </c>
      <c r="G772" s="254">
        <f>ROUND(E772*F772,2)</f>
        <v>24</v>
      </c>
      <c r="H772" s="254"/>
      <c r="I772" s="299">
        <v>4248.72</v>
      </c>
      <c r="J772" s="300">
        <v>1.9442999999999999</v>
      </c>
      <c r="K772" s="299">
        <f t="shared" si="261"/>
        <v>8260.7900000000009</v>
      </c>
      <c r="L772" s="301">
        <f t="shared" si="255"/>
        <v>198258.96</v>
      </c>
      <c r="M772" s="154">
        <f t="shared" si="262"/>
        <v>39651.79</v>
      </c>
      <c r="N772" s="250">
        <f t="shared" si="263"/>
        <v>237910.75</v>
      </c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64"/>
      <c r="Z772" s="77"/>
      <c r="AA772" s="18"/>
      <c r="AB772" s="22"/>
      <c r="AC772" s="22"/>
      <c r="AD772" s="22"/>
    </row>
    <row r="773" spans="1:30" s="20" customFormat="1" ht="38.25" hidden="1" x14ac:dyDescent="0.2">
      <c r="A773" s="335">
        <f t="shared" si="256"/>
        <v>638</v>
      </c>
      <c r="B773" s="236" t="s">
        <v>480</v>
      </c>
      <c r="C773" s="367" t="s">
        <v>523</v>
      </c>
      <c r="D773" s="254" t="s">
        <v>507</v>
      </c>
      <c r="E773" s="254">
        <v>1</v>
      </c>
      <c r="F773" s="254">
        <v>92</v>
      </c>
      <c r="G773" s="254">
        <f>F773*E773</f>
        <v>92</v>
      </c>
      <c r="H773" s="254"/>
      <c r="I773" s="299">
        <v>535.76</v>
      </c>
      <c r="J773" s="308">
        <v>1</v>
      </c>
      <c r="K773" s="299">
        <f t="shared" si="261"/>
        <v>535.76</v>
      </c>
      <c r="L773" s="301">
        <f t="shared" si="255"/>
        <v>49289.919999999998</v>
      </c>
      <c r="M773" s="154">
        <f t="shared" si="262"/>
        <v>9857.98</v>
      </c>
      <c r="N773" s="250">
        <f t="shared" si="263"/>
        <v>59147.9</v>
      </c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64"/>
      <c r="Z773" s="77"/>
      <c r="AA773" s="18"/>
      <c r="AB773" s="22"/>
      <c r="AC773" s="22"/>
      <c r="AD773" s="22"/>
    </row>
    <row r="774" spans="1:30" s="20" customFormat="1" ht="25.5" hidden="1" x14ac:dyDescent="0.2">
      <c r="A774" s="335"/>
      <c r="B774" s="257"/>
      <c r="C774" s="247" t="s">
        <v>6</v>
      </c>
      <c r="D774" s="254"/>
      <c r="E774" s="254"/>
      <c r="F774" s="254"/>
      <c r="G774" s="254"/>
      <c r="H774" s="254"/>
      <c r="I774" s="299"/>
      <c r="J774" s="300"/>
      <c r="K774" s="299"/>
      <c r="L774" s="301"/>
      <c r="M774" s="154"/>
      <c r="N774" s="73"/>
      <c r="O774" s="527">
        <v>7331737.1000000006</v>
      </c>
      <c r="P774" s="73"/>
      <c r="Q774" s="73"/>
      <c r="R774" s="73"/>
      <c r="S774" s="73"/>
      <c r="T774" s="73"/>
      <c r="U774" s="73"/>
      <c r="V774" s="73"/>
      <c r="W774" s="73"/>
      <c r="X774" s="73"/>
      <c r="Y774" s="64"/>
      <c r="Z774" s="77"/>
      <c r="AA774" s="18"/>
      <c r="AB774" s="22"/>
      <c r="AC774" s="22"/>
      <c r="AD774" s="22"/>
    </row>
    <row r="775" spans="1:30" s="20" customFormat="1" ht="63.75" hidden="1" x14ac:dyDescent="0.2">
      <c r="A775" s="335"/>
      <c r="B775" s="257"/>
      <c r="C775" s="237" t="s">
        <v>37</v>
      </c>
      <c r="D775" s="238"/>
      <c r="E775" s="238"/>
      <c r="F775" s="238"/>
      <c r="G775" s="238"/>
      <c r="H775" s="238" t="s">
        <v>448</v>
      </c>
      <c r="I775" s="299"/>
      <c r="J775" s="300"/>
      <c r="K775" s="299"/>
      <c r="L775" s="301"/>
      <c r="M775" s="154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64"/>
      <c r="Z775" s="77"/>
      <c r="AA775" s="18"/>
      <c r="AB775" s="22"/>
      <c r="AC775" s="22"/>
      <c r="AD775" s="22"/>
    </row>
    <row r="776" spans="1:30" s="20" customFormat="1" ht="12.75" hidden="1" x14ac:dyDescent="0.2">
      <c r="A776" s="335"/>
      <c r="B776" s="257"/>
      <c r="C776" s="248" t="s">
        <v>441</v>
      </c>
      <c r="D776" s="375"/>
      <c r="E776" s="376"/>
      <c r="F776" s="376"/>
      <c r="G776" s="250"/>
      <c r="H776" s="376"/>
      <c r="I776" s="299"/>
      <c r="J776" s="300"/>
      <c r="K776" s="299"/>
      <c r="L776" s="301"/>
      <c r="M776" s="154"/>
      <c r="N776" s="73"/>
      <c r="O776" s="517"/>
      <c r="P776" s="517"/>
      <c r="Q776" s="517"/>
      <c r="R776" s="517"/>
      <c r="S776" s="517"/>
      <c r="T776" s="517"/>
      <c r="U776" s="517"/>
      <c r="V776" s="517"/>
      <c r="W776" s="517"/>
      <c r="X776" s="517"/>
      <c r="Y776" s="194">
        <f>SUM(N777:N780)</f>
        <v>41643.51</v>
      </c>
      <c r="Z776" s="194">
        <v>21487.829999999998</v>
      </c>
      <c r="AA776" s="194">
        <v>68696.25</v>
      </c>
      <c r="AB776" s="22"/>
      <c r="AC776" s="22"/>
      <c r="AD776" s="22"/>
    </row>
    <row r="777" spans="1:30" s="20" customFormat="1" ht="76.5" hidden="1" x14ac:dyDescent="0.2">
      <c r="A777" s="335">
        <f>A773+1</f>
        <v>639</v>
      </c>
      <c r="B777" s="257" t="s">
        <v>151</v>
      </c>
      <c r="C777" s="348" t="s">
        <v>116</v>
      </c>
      <c r="D777" s="254" t="s">
        <v>118</v>
      </c>
      <c r="E777" s="254">
        <v>1.554</v>
      </c>
      <c r="F777" s="254">
        <v>2</v>
      </c>
      <c r="G777" s="254">
        <f>ROUND(E777*F777,2)</f>
        <v>3.11</v>
      </c>
      <c r="H777" s="254"/>
      <c r="I777" s="299">
        <v>44.32</v>
      </c>
      <c r="J777" s="300">
        <v>1.9442999999999999</v>
      </c>
      <c r="K777" s="299">
        <f>ROUND(I777*J777,2)</f>
        <v>86.17</v>
      </c>
      <c r="L777" s="301">
        <f>ROUND(K777*G777,2)</f>
        <v>267.99</v>
      </c>
      <c r="M777" s="154">
        <f>ROUND(L777*0.2,2)</f>
        <v>53.6</v>
      </c>
      <c r="N777" s="73">
        <f>ROUND(L777+M777,2)</f>
        <v>321.58999999999997</v>
      </c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64"/>
      <c r="Z777" s="77"/>
      <c r="AA777" s="18"/>
      <c r="AB777" s="22"/>
      <c r="AC777" s="22"/>
      <c r="AD777" s="22"/>
    </row>
    <row r="778" spans="1:30" s="20" customFormat="1" ht="76.5" hidden="1" x14ac:dyDescent="0.2">
      <c r="A778" s="335">
        <f>A777+1</f>
        <v>640</v>
      </c>
      <c r="B778" s="257" t="s">
        <v>191</v>
      </c>
      <c r="C778" s="348" t="s">
        <v>117</v>
      </c>
      <c r="D778" s="254" t="s">
        <v>432</v>
      </c>
      <c r="E778" s="254">
        <v>0.27200000000000002</v>
      </c>
      <c r="F778" s="254">
        <v>3</v>
      </c>
      <c r="G778" s="254">
        <f>ROUND(E778*F778,2)</f>
        <v>0.82</v>
      </c>
      <c r="H778" s="254"/>
      <c r="I778" s="299">
        <v>4728.2</v>
      </c>
      <c r="J778" s="300">
        <v>1.9442999999999999</v>
      </c>
      <c r="K778" s="299">
        <f>ROUND(I778*J778,2)</f>
        <v>9193.0400000000009</v>
      </c>
      <c r="L778" s="301">
        <f>ROUND(K778*G778,2)</f>
        <v>7538.29</v>
      </c>
      <c r="M778" s="154">
        <f>ROUND(L778*0.2,2)</f>
        <v>1507.66</v>
      </c>
      <c r="N778" s="73">
        <f>ROUND(L778+M778,2)</f>
        <v>9045.9500000000007</v>
      </c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134">
        <v>39477.620000000003</v>
      </c>
      <c r="Z778" s="77"/>
      <c r="AA778" s="18"/>
      <c r="AB778" s="22"/>
      <c r="AC778" s="22"/>
      <c r="AD778" s="22"/>
    </row>
    <row r="779" spans="1:30" s="20" customFormat="1" ht="51" hidden="1" x14ac:dyDescent="0.2">
      <c r="A779" s="335">
        <f>A778+1</f>
        <v>641</v>
      </c>
      <c r="B779" s="366" t="s">
        <v>492</v>
      </c>
      <c r="C779" s="367" t="s">
        <v>493</v>
      </c>
      <c r="D779" s="254" t="s">
        <v>433</v>
      </c>
      <c r="E779" s="254">
        <v>155.4</v>
      </c>
      <c r="F779" s="254">
        <v>1</v>
      </c>
      <c r="G779" s="254">
        <f>ROUND(E779*F779,2)</f>
        <v>155.4</v>
      </c>
      <c r="H779" s="303"/>
      <c r="I779" s="299">
        <v>83.24</v>
      </c>
      <c r="J779" s="300">
        <v>1.9442999999999999</v>
      </c>
      <c r="K779" s="299">
        <f>ROUND(I779*J779,2)</f>
        <v>161.84</v>
      </c>
      <c r="L779" s="301">
        <f>ROUND(K779*G779,2)</f>
        <v>25149.94</v>
      </c>
      <c r="M779" s="154">
        <f>ROUND(L779*0.2,2)</f>
        <v>5029.99</v>
      </c>
      <c r="N779" s="73">
        <f>ROUND(L779+M779,2)</f>
        <v>30179.93</v>
      </c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64"/>
      <c r="Z779" s="77">
        <v>220.9</v>
      </c>
      <c r="AA779" s="18">
        <v>220.69</v>
      </c>
      <c r="AB779" s="22"/>
      <c r="AC779" s="22"/>
      <c r="AD779" s="22"/>
    </row>
    <row r="780" spans="1:30" s="20" customFormat="1" ht="51" hidden="1" x14ac:dyDescent="0.2">
      <c r="A780" s="335">
        <f>A779+1</f>
        <v>642</v>
      </c>
      <c r="B780" s="257" t="s">
        <v>494</v>
      </c>
      <c r="C780" s="374" t="s">
        <v>471</v>
      </c>
      <c r="D780" s="254" t="s">
        <v>433</v>
      </c>
      <c r="E780" s="254">
        <v>155.4</v>
      </c>
      <c r="F780" s="254">
        <v>2</v>
      </c>
      <c r="G780" s="254">
        <f>ROUND(E780*F780,2)</f>
        <v>310.8</v>
      </c>
      <c r="H780" s="303"/>
      <c r="I780" s="299">
        <v>2.89</v>
      </c>
      <c r="J780" s="300">
        <v>1.9442999999999999</v>
      </c>
      <c r="K780" s="299">
        <f>ROUND(I780*J780,2)</f>
        <v>5.62</v>
      </c>
      <c r="L780" s="301">
        <f>ROUND(K780*G780,2)</f>
        <v>1746.7</v>
      </c>
      <c r="M780" s="154">
        <f>ROUND(L780*0.2,2)</f>
        <v>349.34</v>
      </c>
      <c r="N780" s="73">
        <f>ROUND(L780+M780,2)</f>
        <v>2096.04</v>
      </c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64"/>
      <c r="Z780" s="77">
        <v>6213.97</v>
      </c>
      <c r="AA780" s="18">
        <v>12340.11</v>
      </c>
      <c r="AB780" s="22"/>
      <c r="AC780" s="22"/>
      <c r="AD780" s="22"/>
    </row>
    <row r="781" spans="1:30" s="20" customFormat="1" ht="28.5" hidden="1" customHeight="1" x14ac:dyDescent="0.2">
      <c r="A781" s="335"/>
      <c r="B781" s="366"/>
      <c r="C781" s="237" t="s">
        <v>530</v>
      </c>
      <c r="D781" s="375"/>
      <c r="E781" s="377"/>
      <c r="F781" s="376"/>
      <c r="G781" s="378"/>
      <c r="H781" s="303"/>
      <c r="I781" s="299"/>
      <c r="J781" s="300"/>
      <c r="K781" s="299"/>
      <c r="L781" s="301"/>
      <c r="M781" s="154"/>
      <c r="N781" s="73"/>
      <c r="O781" s="517"/>
      <c r="P781" s="517"/>
      <c r="Q781" s="517"/>
      <c r="R781" s="517"/>
      <c r="S781" s="517"/>
      <c r="T781" s="517"/>
      <c r="U781" s="517"/>
      <c r="V781" s="517"/>
      <c r="W781" s="517"/>
      <c r="X781" s="517"/>
      <c r="Y781" s="194">
        <f>N782+N783</f>
        <v>16158.53</v>
      </c>
      <c r="Z781" s="77"/>
      <c r="AA781" s="18"/>
      <c r="AB781" s="22"/>
      <c r="AC781" s="22"/>
      <c r="AD781" s="22"/>
    </row>
    <row r="782" spans="1:30" s="20" customFormat="1" ht="76.5" hidden="1" x14ac:dyDescent="0.2">
      <c r="A782" s="335">
        <f>A780+1</f>
        <v>643</v>
      </c>
      <c r="B782" s="366" t="s">
        <v>192</v>
      </c>
      <c r="C782" s="367" t="s">
        <v>119</v>
      </c>
      <c r="D782" s="254" t="s">
        <v>432</v>
      </c>
      <c r="E782" s="254">
        <v>0.27200000000000002</v>
      </c>
      <c r="F782" s="254">
        <v>3</v>
      </c>
      <c r="G782" s="254">
        <f>ROUND(E782*F782,2)</f>
        <v>0.82</v>
      </c>
      <c r="H782" s="303"/>
      <c r="I782" s="299">
        <v>7314.22</v>
      </c>
      <c r="J782" s="300">
        <v>1.9442999999999999</v>
      </c>
      <c r="K782" s="299">
        <f>ROUND(I782*J782,2)</f>
        <v>14221.04</v>
      </c>
      <c r="L782" s="301">
        <f>ROUND(K782*G782,2)</f>
        <v>11661.25</v>
      </c>
      <c r="M782" s="154">
        <f>ROUND(L782*0.2,2)</f>
        <v>2332.25</v>
      </c>
      <c r="N782" s="73">
        <f>ROUND(L782+M782,2)</f>
        <v>13993.5</v>
      </c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64"/>
      <c r="Z782" s="77"/>
      <c r="AA782" s="18"/>
      <c r="AB782" s="22"/>
      <c r="AC782" s="22"/>
      <c r="AD782" s="22"/>
    </row>
    <row r="783" spans="1:30" s="20" customFormat="1" ht="114.75" hidden="1" x14ac:dyDescent="0.2">
      <c r="A783" s="335">
        <f>A782+1</f>
        <v>644</v>
      </c>
      <c r="B783" s="366" t="s">
        <v>301</v>
      </c>
      <c r="C783" s="367" t="s">
        <v>120</v>
      </c>
      <c r="D783" s="254" t="s">
        <v>433</v>
      </c>
      <c r="E783" s="254">
        <v>155.4</v>
      </c>
      <c r="F783" s="254">
        <v>3</v>
      </c>
      <c r="G783" s="254">
        <f>ROUND(E783*F783,2)</f>
        <v>466.2</v>
      </c>
      <c r="H783" s="303"/>
      <c r="I783" s="299">
        <v>1.99</v>
      </c>
      <c r="J783" s="300">
        <v>1.9442999999999999</v>
      </c>
      <c r="K783" s="299">
        <f>ROUND(I783*J783,2)</f>
        <v>3.87</v>
      </c>
      <c r="L783" s="301">
        <f>ROUND(K783*G783,2)</f>
        <v>1804.19</v>
      </c>
      <c r="M783" s="154">
        <f>ROUND(L783*0.2,2)</f>
        <v>360.84</v>
      </c>
      <c r="N783" s="73">
        <f>ROUND(L783+M783,2)</f>
        <v>2165.0300000000002</v>
      </c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64"/>
      <c r="Z783" s="77"/>
      <c r="AA783" s="18"/>
      <c r="AB783" s="22"/>
      <c r="AC783" s="22"/>
      <c r="AD783" s="22"/>
    </row>
    <row r="784" spans="1:30" s="20" customFormat="1" ht="38.25" hidden="1" x14ac:dyDescent="0.2">
      <c r="A784" s="335"/>
      <c r="B784" s="257"/>
      <c r="C784" s="237" t="s">
        <v>442</v>
      </c>
      <c r="D784" s="237"/>
      <c r="E784" s="237"/>
      <c r="F784" s="237"/>
      <c r="G784" s="378"/>
      <c r="H784" s="378"/>
      <c r="I784" s="378"/>
      <c r="J784" s="254"/>
      <c r="K784" s="299"/>
      <c r="L784" s="301"/>
      <c r="M784" s="154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145">
        <v>20370.46</v>
      </c>
      <c r="Z784" s="194">
        <f>SUM(N785:N791)</f>
        <v>83297.850000000006</v>
      </c>
      <c r="AA784" s="18"/>
      <c r="AB784" s="22"/>
      <c r="AC784" s="22"/>
      <c r="AD784" s="22"/>
    </row>
    <row r="785" spans="1:30" s="20" customFormat="1" ht="76.5" hidden="1" x14ac:dyDescent="0.2">
      <c r="A785" s="335">
        <f>A783+1</f>
        <v>645</v>
      </c>
      <c r="B785" s="257" t="s">
        <v>194</v>
      </c>
      <c r="C785" s="367" t="s">
        <v>144</v>
      </c>
      <c r="D785" s="254" t="s">
        <v>422</v>
      </c>
      <c r="E785" s="254">
        <v>3</v>
      </c>
      <c r="F785" s="254">
        <v>2</v>
      </c>
      <c r="G785" s="254">
        <f t="shared" ref="G785:G791" si="264">ROUND(E785*F785,2)</f>
        <v>6</v>
      </c>
      <c r="H785" s="254"/>
      <c r="I785" s="299">
        <v>964.56</v>
      </c>
      <c r="J785" s="300">
        <v>1.9442999999999999</v>
      </c>
      <c r="K785" s="299">
        <f t="shared" ref="K785:K791" si="265">ROUND(I785*J785,2)</f>
        <v>1875.39</v>
      </c>
      <c r="L785" s="301">
        <f t="shared" ref="L785:L791" si="266">ROUND(K785*G785,2)</f>
        <v>11252.34</v>
      </c>
      <c r="M785" s="154">
        <f>ROUND(L785*0.2,2)</f>
        <v>2250.4699999999998</v>
      </c>
      <c r="N785" s="73">
        <f t="shared" ref="N785:N791" si="267">ROUND(L785+M785,2)</f>
        <v>13502.81</v>
      </c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64"/>
      <c r="Z785" s="77"/>
      <c r="AA785" s="18"/>
      <c r="AB785" s="22"/>
      <c r="AC785" s="22"/>
      <c r="AD785" s="22"/>
    </row>
    <row r="786" spans="1:30" s="20" customFormat="1" ht="63.75" hidden="1" x14ac:dyDescent="0.2">
      <c r="A786" s="335">
        <f t="shared" ref="A786:A791" si="268">A785+1</f>
        <v>646</v>
      </c>
      <c r="B786" s="310" t="s">
        <v>412</v>
      </c>
      <c r="C786" s="367" t="s">
        <v>121</v>
      </c>
      <c r="D786" s="254" t="s">
        <v>422</v>
      </c>
      <c r="E786" s="254">
        <v>2</v>
      </c>
      <c r="F786" s="254">
        <v>6</v>
      </c>
      <c r="G786" s="254">
        <f t="shared" si="264"/>
        <v>12</v>
      </c>
      <c r="H786" s="254"/>
      <c r="I786" s="299">
        <v>130.31</v>
      </c>
      <c r="J786" s="300">
        <v>9.86</v>
      </c>
      <c r="K786" s="299">
        <f t="shared" si="265"/>
        <v>1284.8599999999999</v>
      </c>
      <c r="L786" s="301">
        <f t="shared" si="266"/>
        <v>15418.32</v>
      </c>
      <c r="M786" s="154">
        <f t="shared" ref="M786:M808" si="269">ROUND(L786*0.2,2)</f>
        <v>3083.66</v>
      </c>
      <c r="N786" s="73">
        <f t="shared" si="267"/>
        <v>18501.98</v>
      </c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144">
        <v>92813.099999999977</v>
      </c>
      <c r="Z786" s="77"/>
      <c r="AA786" s="18"/>
      <c r="AB786" s="22"/>
      <c r="AC786" s="22"/>
      <c r="AD786" s="22"/>
    </row>
    <row r="787" spans="1:30" s="20" customFormat="1" ht="63.75" hidden="1" x14ac:dyDescent="0.2">
      <c r="A787" s="335">
        <f t="shared" si="268"/>
        <v>647</v>
      </c>
      <c r="B787" s="310" t="s">
        <v>413</v>
      </c>
      <c r="C787" s="367" t="s">
        <v>423</v>
      </c>
      <c r="D787" s="254" t="s">
        <v>422</v>
      </c>
      <c r="E787" s="254">
        <v>2</v>
      </c>
      <c r="F787" s="254">
        <v>6</v>
      </c>
      <c r="G787" s="254">
        <f t="shared" si="264"/>
        <v>12</v>
      </c>
      <c r="H787" s="254"/>
      <c r="I787" s="299">
        <v>18.62</v>
      </c>
      <c r="J787" s="300">
        <v>9.86</v>
      </c>
      <c r="K787" s="299">
        <f t="shared" si="265"/>
        <v>183.59</v>
      </c>
      <c r="L787" s="301">
        <f t="shared" si="266"/>
        <v>2203.08</v>
      </c>
      <c r="M787" s="154">
        <f t="shared" si="269"/>
        <v>440.62</v>
      </c>
      <c r="N787" s="73">
        <f t="shared" si="267"/>
        <v>2643.7</v>
      </c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64"/>
      <c r="Z787" s="77">
        <v>9155.9500000000007</v>
      </c>
      <c r="AA787" s="18">
        <v>4573.5</v>
      </c>
      <c r="AB787" s="22"/>
      <c r="AC787" s="22"/>
      <c r="AD787" s="22"/>
    </row>
    <row r="788" spans="1:30" s="20" customFormat="1" ht="63.75" hidden="1" x14ac:dyDescent="0.2">
      <c r="A788" s="335">
        <f t="shared" si="268"/>
        <v>648</v>
      </c>
      <c r="B788" s="310" t="s">
        <v>414</v>
      </c>
      <c r="C788" s="367" t="s">
        <v>424</v>
      </c>
      <c r="D788" s="254" t="s">
        <v>422</v>
      </c>
      <c r="E788" s="254">
        <v>1</v>
      </c>
      <c r="F788" s="254">
        <v>2</v>
      </c>
      <c r="G788" s="254">
        <f t="shared" si="264"/>
        <v>2</v>
      </c>
      <c r="H788" s="254"/>
      <c r="I788" s="299">
        <v>161.86000000000001</v>
      </c>
      <c r="J788" s="300">
        <v>9.86</v>
      </c>
      <c r="K788" s="299">
        <f t="shared" si="265"/>
        <v>1595.94</v>
      </c>
      <c r="L788" s="301">
        <f t="shared" si="266"/>
        <v>3191.88</v>
      </c>
      <c r="M788" s="154">
        <f t="shared" si="269"/>
        <v>638.38</v>
      </c>
      <c r="N788" s="73">
        <f t="shared" si="267"/>
        <v>3830.26</v>
      </c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64"/>
      <c r="Z788" s="77">
        <v>8953.6299999999992</v>
      </c>
      <c r="AA788" s="18">
        <v>26971.200000000001</v>
      </c>
      <c r="AB788" s="22"/>
      <c r="AC788" s="22"/>
      <c r="AD788" s="22"/>
    </row>
    <row r="789" spans="1:30" s="20" customFormat="1" ht="63.75" hidden="1" x14ac:dyDescent="0.2">
      <c r="A789" s="335">
        <f t="shared" si="268"/>
        <v>649</v>
      </c>
      <c r="B789" s="310" t="s">
        <v>415</v>
      </c>
      <c r="C789" s="367" t="s">
        <v>122</v>
      </c>
      <c r="D789" s="254" t="s">
        <v>422</v>
      </c>
      <c r="E789" s="254">
        <v>1</v>
      </c>
      <c r="F789" s="254">
        <v>2</v>
      </c>
      <c r="G789" s="254">
        <f t="shared" si="264"/>
        <v>2</v>
      </c>
      <c r="H789" s="254"/>
      <c r="I789" s="299">
        <v>501.73</v>
      </c>
      <c r="J789" s="300">
        <v>9.86</v>
      </c>
      <c r="K789" s="299">
        <f t="shared" si="265"/>
        <v>4947.0600000000004</v>
      </c>
      <c r="L789" s="301">
        <f t="shared" si="266"/>
        <v>9894.1200000000008</v>
      </c>
      <c r="M789" s="154">
        <f t="shared" si="269"/>
        <v>1978.82</v>
      </c>
      <c r="N789" s="73">
        <f t="shared" si="267"/>
        <v>11872.94</v>
      </c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64"/>
      <c r="Z789" s="77">
        <v>1279.3700000000001</v>
      </c>
      <c r="AA789" s="18">
        <v>524.91999999999996</v>
      </c>
      <c r="AB789" s="22"/>
      <c r="AC789" s="22"/>
      <c r="AD789" s="22"/>
    </row>
    <row r="790" spans="1:30" s="20" customFormat="1" ht="63.75" hidden="1" x14ac:dyDescent="0.2">
      <c r="A790" s="335">
        <f t="shared" si="268"/>
        <v>650</v>
      </c>
      <c r="B790" s="310" t="s">
        <v>416</v>
      </c>
      <c r="C790" s="367" t="s">
        <v>123</v>
      </c>
      <c r="D790" s="254" t="s">
        <v>422</v>
      </c>
      <c r="E790" s="254">
        <v>2</v>
      </c>
      <c r="F790" s="254">
        <v>6</v>
      </c>
      <c r="G790" s="254">
        <f t="shared" si="264"/>
        <v>12</v>
      </c>
      <c r="H790" s="254"/>
      <c r="I790" s="299">
        <v>135.63999999999999</v>
      </c>
      <c r="J790" s="300">
        <v>9.86</v>
      </c>
      <c r="K790" s="299">
        <f t="shared" si="265"/>
        <v>1337.41</v>
      </c>
      <c r="L790" s="301">
        <f t="shared" si="266"/>
        <v>16048.92</v>
      </c>
      <c r="M790" s="154">
        <f t="shared" si="269"/>
        <v>3209.78</v>
      </c>
      <c r="N790" s="73">
        <f t="shared" si="267"/>
        <v>19258.7</v>
      </c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64"/>
      <c r="Z790" s="77">
        <v>1853.5800000000002</v>
      </c>
      <c r="AA790" s="18">
        <v>1325.04</v>
      </c>
      <c r="AB790" s="22"/>
      <c r="AC790" s="22"/>
      <c r="AD790" s="22"/>
    </row>
    <row r="791" spans="1:30" s="20" customFormat="1" ht="39.75" hidden="1" customHeight="1" x14ac:dyDescent="0.2">
      <c r="A791" s="335">
        <f t="shared" si="268"/>
        <v>651</v>
      </c>
      <c r="B791" s="257" t="s">
        <v>341</v>
      </c>
      <c r="C791" s="367" t="s">
        <v>124</v>
      </c>
      <c r="D791" s="254" t="s">
        <v>429</v>
      </c>
      <c r="E791" s="254">
        <v>1442</v>
      </c>
      <c r="F791" s="254">
        <v>1</v>
      </c>
      <c r="G791" s="254">
        <f t="shared" si="264"/>
        <v>1442</v>
      </c>
      <c r="H791" s="254">
        <v>8.52</v>
      </c>
      <c r="I791" s="299">
        <f>H791/1.2</f>
        <v>7.1</v>
      </c>
      <c r="J791" s="254">
        <v>1.1140000000000001</v>
      </c>
      <c r="K791" s="299">
        <f t="shared" si="265"/>
        <v>7.91</v>
      </c>
      <c r="L791" s="301">
        <f t="shared" si="266"/>
        <v>11406.22</v>
      </c>
      <c r="M791" s="154">
        <f t="shared" si="269"/>
        <v>2281.2399999999998</v>
      </c>
      <c r="N791" s="73">
        <f t="shared" si="267"/>
        <v>13687.46</v>
      </c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64"/>
      <c r="Z791" s="77">
        <v>5745.67</v>
      </c>
      <c r="AA791" s="18">
        <v>9353.82</v>
      </c>
      <c r="AB791" s="22"/>
      <c r="AC791" s="22"/>
      <c r="AD791" s="22"/>
    </row>
    <row r="792" spans="1:30" s="20" customFormat="1" ht="63.75" hidden="1" x14ac:dyDescent="0.2">
      <c r="A792" s="335"/>
      <c r="B792" s="257"/>
      <c r="C792" s="169" t="s">
        <v>38</v>
      </c>
      <c r="D792" s="190"/>
      <c r="E792" s="190"/>
      <c r="F792" s="190"/>
      <c r="G792" s="190"/>
      <c r="H792" s="190"/>
      <c r="I792" s="190"/>
      <c r="J792" s="190"/>
      <c r="K792" s="351"/>
      <c r="L792" s="379"/>
      <c r="M792" s="352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64"/>
      <c r="Z792" s="77">
        <v>9319.9</v>
      </c>
      <c r="AA792" s="18">
        <v>9753.1200000000008</v>
      </c>
      <c r="AB792" s="22"/>
      <c r="AC792" s="22"/>
      <c r="AD792" s="22"/>
    </row>
    <row r="793" spans="1:30" s="20" customFormat="1" ht="12.75" hidden="1" x14ac:dyDescent="0.2">
      <c r="A793" s="335"/>
      <c r="B793" s="257"/>
      <c r="C793" s="176" t="s">
        <v>441</v>
      </c>
      <c r="D793" s="289"/>
      <c r="E793" s="289"/>
      <c r="F793" s="289"/>
      <c r="G793" s="288"/>
      <c r="H793" s="289"/>
      <c r="I793" s="289"/>
      <c r="J793" s="289"/>
      <c r="K793" s="351"/>
      <c r="L793" s="379"/>
      <c r="M793" s="352"/>
      <c r="N793" s="9"/>
      <c r="O793" s="521"/>
      <c r="P793" s="521"/>
      <c r="Q793" s="521"/>
      <c r="R793" s="521"/>
      <c r="S793" s="521"/>
      <c r="T793" s="521"/>
      <c r="U793" s="521"/>
      <c r="V793" s="521"/>
      <c r="W793" s="521"/>
      <c r="X793" s="521"/>
      <c r="Y793" s="194">
        <f>SUM(N794:N797)</f>
        <v>49025.13</v>
      </c>
      <c r="Z793" s="194">
        <v>26392.910000000003</v>
      </c>
      <c r="AA793" s="194">
        <v>68696.25</v>
      </c>
      <c r="AB793" s="22"/>
      <c r="AC793" s="22"/>
      <c r="AD793" s="22"/>
    </row>
    <row r="794" spans="1:30" s="20" customFormat="1" ht="76.5" hidden="1" x14ac:dyDescent="0.2">
      <c r="A794" s="335">
        <f>A791+1</f>
        <v>652</v>
      </c>
      <c r="B794" s="257" t="s">
        <v>151</v>
      </c>
      <c r="C794" s="366" t="s">
        <v>116</v>
      </c>
      <c r="D794" s="380" t="s">
        <v>118</v>
      </c>
      <c r="E794" s="380">
        <v>1.806</v>
      </c>
      <c r="F794" s="380">
        <v>2</v>
      </c>
      <c r="G794" s="380">
        <f>ROUND(E794*F794,2)</f>
        <v>3.61</v>
      </c>
      <c r="H794" s="380"/>
      <c r="I794" s="351">
        <v>44.32</v>
      </c>
      <c r="J794" s="381">
        <v>1.9442999999999999</v>
      </c>
      <c r="K794" s="351">
        <f>ROUND(I794*J794,2)</f>
        <v>86.17</v>
      </c>
      <c r="L794" s="379">
        <f>ROUND(K794*G794,2)</f>
        <v>311.07</v>
      </c>
      <c r="M794" s="352">
        <f t="shared" si="269"/>
        <v>62.21</v>
      </c>
      <c r="N794" s="9">
        <f>ROUND(L794+M794,2)</f>
        <v>373.28</v>
      </c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64"/>
      <c r="Z794" s="77"/>
      <c r="AA794" s="18"/>
      <c r="AB794" s="22"/>
      <c r="AC794" s="22"/>
      <c r="AD794" s="22"/>
    </row>
    <row r="795" spans="1:30" s="20" customFormat="1" ht="76.5" hidden="1" x14ac:dyDescent="0.2">
      <c r="A795" s="335">
        <f>A794+1</f>
        <v>653</v>
      </c>
      <c r="B795" s="257" t="s">
        <v>191</v>
      </c>
      <c r="C795" s="366" t="s">
        <v>117</v>
      </c>
      <c r="D795" s="254" t="s">
        <v>432</v>
      </c>
      <c r="E795" s="254">
        <v>0.33800000000000002</v>
      </c>
      <c r="F795" s="254">
        <v>3</v>
      </c>
      <c r="G795" s="254">
        <f>ROUND(E795*F795,2)</f>
        <v>1.01</v>
      </c>
      <c r="H795" s="254"/>
      <c r="I795" s="299">
        <v>4728.2</v>
      </c>
      <c r="J795" s="300">
        <v>1.9442999999999999</v>
      </c>
      <c r="K795" s="299">
        <f>ROUND(I795*J795,2)</f>
        <v>9193.0400000000009</v>
      </c>
      <c r="L795" s="301">
        <f>ROUND(K795*G795,2)</f>
        <v>9284.9699999999993</v>
      </c>
      <c r="M795" s="154">
        <f t="shared" si="269"/>
        <v>1856.99</v>
      </c>
      <c r="N795" s="73">
        <f>ROUND(L795+M795,2)</f>
        <v>11141.96</v>
      </c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134">
        <v>46475.34</v>
      </c>
      <c r="Z795" s="77"/>
      <c r="AA795" s="18"/>
      <c r="AB795" s="22"/>
      <c r="AC795" s="22"/>
      <c r="AD795" s="22"/>
    </row>
    <row r="796" spans="1:30" s="20" customFormat="1" ht="51" hidden="1" x14ac:dyDescent="0.2">
      <c r="A796" s="335">
        <f>A795+1</f>
        <v>654</v>
      </c>
      <c r="B796" s="366" t="s">
        <v>492</v>
      </c>
      <c r="C796" s="366" t="s">
        <v>493</v>
      </c>
      <c r="D796" s="254" t="s">
        <v>433</v>
      </c>
      <c r="E796" s="254">
        <v>180.6</v>
      </c>
      <c r="F796" s="254">
        <v>1</v>
      </c>
      <c r="G796" s="254">
        <f>ROUND(E796*F796,2)</f>
        <v>180.6</v>
      </c>
      <c r="H796" s="303"/>
      <c r="I796" s="299">
        <v>83.24</v>
      </c>
      <c r="J796" s="300">
        <v>1.9442999999999999</v>
      </c>
      <c r="K796" s="299">
        <f>ROUND(I796*J796,2)</f>
        <v>161.84</v>
      </c>
      <c r="L796" s="301">
        <f>ROUND(K796*G796,2)</f>
        <v>29228.3</v>
      </c>
      <c r="M796" s="154">
        <f>ROUND(L796*0.2,2)</f>
        <v>5845.66</v>
      </c>
      <c r="N796" s="73">
        <f>ROUND(L796+M796,2)</f>
        <v>35073.96</v>
      </c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136">
        <v>25020.41</v>
      </c>
      <c r="Z796" s="77">
        <v>256.42</v>
      </c>
      <c r="AA796" s="18">
        <v>256.17</v>
      </c>
      <c r="AB796" s="22"/>
      <c r="AC796" s="22"/>
      <c r="AD796" s="22"/>
    </row>
    <row r="797" spans="1:30" s="20" customFormat="1" ht="51" hidden="1" x14ac:dyDescent="0.2">
      <c r="A797" s="335">
        <f>A796+1</f>
        <v>655</v>
      </c>
      <c r="B797" s="257" t="s">
        <v>494</v>
      </c>
      <c r="C797" s="382" t="s">
        <v>471</v>
      </c>
      <c r="D797" s="254" t="s">
        <v>433</v>
      </c>
      <c r="E797" s="254">
        <v>180.6</v>
      </c>
      <c r="F797" s="254">
        <v>2</v>
      </c>
      <c r="G797" s="254">
        <f>ROUND(E797*F797,2)</f>
        <v>361.2</v>
      </c>
      <c r="H797" s="303"/>
      <c r="I797" s="299">
        <v>2.89</v>
      </c>
      <c r="J797" s="300">
        <v>1.9442999999999999</v>
      </c>
      <c r="K797" s="299">
        <f>ROUND(I797*J797,2)</f>
        <v>5.62</v>
      </c>
      <c r="L797" s="301">
        <f>ROUND(K797*G797,2)</f>
        <v>2029.94</v>
      </c>
      <c r="M797" s="154">
        <f>ROUND(L797*0.2,2)</f>
        <v>405.99</v>
      </c>
      <c r="N797" s="73">
        <f>ROUND(L797+M797,2)</f>
        <v>2435.9299999999998</v>
      </c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144">
        <v>92813.099999999977</v>
      </c>
      <c r="Z797" s="77">
        <v>7653.79</v>
      </c>
      <c r="AA797" s="18">
        <v>15368.36</v>
      </c>
      <c r="AB797" s="22"/>
      <c r="AC797" s="22"/>
      <c r="AD797" s="22"/>
    </row>
    <row r="798" spans="1:30" s="20" customFormat="1" ht="12.75" hidden="1" x14ac:dyDescent="0.2">
      <c r="A798" s="335"/>
      <c r="B798" s="366"/>
      <c r="C798" s="28" t="s">
        <v>530</v>
      </c>
      <c r="D798" s="229"/>
      <c r="E798" s="383"/>
      <c r="F798" s="383"/>
      <c r="G798" s="383"/>
      <c r="H798" s="378"/>
      <c r="I798" s="281"/>
      <c r="J798" s="300"/>
      <c r="K798" s="299"/>
      <c r="L798" s="301"/>
      <c r="M798" s="154"/>
      <c r="N798" s="73"/>
      <c r="O798" s="517"/>
      <c r="P798" s="517"/>
      <c r="Q798" s="517"/>
      <c r="R798" s="517"/>
      <c r="S798" s="517"/>
      <c r="T798" s="517"/>
      <c r="U798" s="517"/>
      <c r="V798" s="517"/>
      <c r="W798" s="517"/>
      <c r="X798" s="517"/>
      <c r="Y798" s="194">
        <f>N799+N800</f>
        <v>19752.02</v>
      </c>
      <c r="Z798" s="77"/>
      <c r="AA798" s="18"/>
      <c r="AB798" s="22"/>
      <c r="AC798" s="22"/>
      <c r="AD798" s="22"/>
    </row>
    <row r="799" spans="1:30" s="20" customFormat="1" ht="76.5" hidden="1" x14ac:dyDescent="0.2">
      <c r="A799" s="335">
        <f>A797+1</f>
        <v>656</v>
      </c>
      <c r="B799" s="366" t="s">
        <v>192</v>
      </c>
      <c r="C799" s="366" t="s">
        <v>119</v>
      </c>
      <c r="D799" s="254" t="s">
        <v>432</v>
      </c>
      <c r="E799" s="254">
        <v>0.33800000000000002</v>
      </c>
      <c r="F799" s="254">
        <v>3</v>
      </c>
      <c r="G799" s="254">
        <f>ROUND(E799*F799,2)</f>
        <v>1.01</v>
      </c>
      <c r="H799" s="254"/>
      <c r="I799" s="347">
        <v>7314.22</v>
      </c>
      <c r="J799" s="300">
        <v>1.9442999999999999</v>
      </c>
      <c r="K799" s="299">
        <f>ROUND(I799*J799,2)</f>
        <v>14221.04</v>
      </c>
      <c r="L799" s="301">
        <f>ROUND(K799*G799,2)</f>
        <v>14363.25</v>
      </c>
      <c r="M799" s="154">
        <f>ROUND(L799*0.2,2)</f>
        <v>2872.65</v>
      </c>
      <c r="N799" s="73">
        <f>ROUND(L799+M799,2)</f>
        <v>17235.900000000001</v>
      </c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64"/>
      <c r="Z799" s="77"/>
      <c r="AA799" s="18"/>
      <c r="AB799" s="22"/>
      <c r="AC799" s="22"/>
      <c r="AD799" s="22"/>
    </row>
    <row r="800" spans="1:30" s="20" customFormat="1" ht="114.75" hidden="1" x14ac:dyDescent="0.2">
      <c r="A800" s="335">
        <f>A799+1</f>
        <v>657</v>
      </c>
      <c r="B800" s="366" t="s">
        <v>301</v>
      </c>
      <c r="C800" s="366" t="s">
        <v>120</v>
      </c>
      <c r="D800" s="380" t="s">
        <v>433</v>
      </c>
      <c r="E800" s="380">
        <v>180.6</v>
      </c>
      <c r="F800" s="380">
        <v>3</v>
      </c>
      <c r="G800" s="380">
        <f>ROUND(E800*F800,2)</f>
        <v>541.79999999999995</v>
      </c>
      <c r="H800" s="380"/>
      <c r="I800" s="384">
        <v>1.99</v>
      </c>
      <c r="J800" s="381">
        <v>1.9442999999999999</v>
      </c>
      <c r="K800" s="351">
        <f>ROUND(I800*J800,2)</f>
        <v>3.87</v>
      </c>
      <c r="L800" s="379">
        <f>ROUND(K800*G800,2)</f>
        <v>2096.77</v>
      </c>
      <c r="M800" s="352">
        <f>ROUND(L800*0.2,2)</f>
        <v>419.35</v>
      </c>
      <c r="N800" s="9">
        <f>ROUND(L800+M800,2)</f>
        <v>2516.12</v>
      </c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64"/>
      <c r="Z800" s="77"/>
      <c r="AA800" s="18"/>
      <c r="AB800" s="22"/>
      <c r="AC800" s="22"/>
      <c r="AD800" s="22"/>
    </row>
    <row r="801" spans="1:30" s="20" customFormat="1" ht="38.25" hidden="1" x14ac:dyDescent="0.2">
      <c r="A801" s="335"/>
      <c r="B801" s="257"/>
      <c r="C801" s="169" t="s">
        <v>442</v>
      </c>
      <c r="D801" s="190"/>
      <c r="E801" s="255"/>
      <c r="F801" s="190"/>
      <c r="G801" s="190"/>
      <c r="H801" s="215"/>
      <c r="I801" s="215"/>
      <c r="J801" s="381"/>
      <c r="K801" s="351"/>
      <c r="L801" s="379"/>
      <c r="M801" s="352"/>
      <c r="N801" s="9"/>
      <c r="O801" s="521"/>
      <c r="P801" s="521"/>
      <c r="Q801" s="521"/>
      <c r="R801" s="521"/>
      <c r="S801" s="521"/>
      <c r="T801" s="521"/>
      <c r="U801" s="521"/>
      <c r="V801" s="521"/>
      <c r="W801" s="521"/>
      <c r="X801" s="521"/>
      <c r="Y801" s="194">
        <f>SUM(N802:N808)</f>
        <v>83297.850000000006</v>
      </c>
      <c r="Z801" s="77"/>
      <c r="AA801" s="18"/>
      <c r="AB801" s="22"/>
      <c r="AC801" s="22"/>
      <c r="AD801" s="22"/>
    </row>
    <row r="802" spans="1:30" s="20" customFormat="1" ht="76.5" hidden="1" x14ac:dyDescent="0.2">
      <c r="A802" s="335">
        <f>A800+1</f>
        <v>658</v>
      </c>
      <c r="B802" s="257" t="s">
        <v>194</v>
      </c>
      <c r="C802" s="366" t="s">
        <v>144</v>
      </c>
      <c r="D802" s="254" t="s">
        <v>422</v>
      </c>
      <c r="E802" s="254">
        <v>3</v>
      </c>
      <c r="F802" s="385">
        <v>2</v>
      </c>
      <c r="G802" s="376">
        <f t="shared" ref="G802:G808" si="270">ROUND(E802*F802,2)</f>
        <v>6</v>
      </c>
      <c r="H802" s="309"/>
      <c r="I802" s="299">
        <v>964.56</v>
      </c>
      <c r="J802" s="300">
        <v>1.9442999999999999</v>
      </c>
      <c r="K802" s="299">
        <f>ROUND(I802*J802,2)</f>
        <v>1875.39</v>
      </c>
      <c r="L802" s="301">
        <f t="shared" ref="L802:L808" si="271">ROUND(K802*G802,2)</f>
        <v>11252.34</v>
      </c>
      <c r="M802" s="154">
        <f t="shared" si="269"/>
        <v>2250.4699999999998</v>
      </c>
      <c r="N802" s="73">
        <f t="shared" ref="N802:N808" si="272">ROUND(L802+M802,2)</f>
        <v>13502.81</v>
      </c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64"/>
      <c r="Z802" s="77"/>
      <c r="AA802" s="18"/>
      <c r="AB802" s="22"/>
      <c r="AC802" s="22"/>
      <c r="AD802" s="22"/>
    </row>
    <row r="803" spans="1:30" s="20" customFormat="1" ht="63.75" hidden="1" x14ac:dyDescent="0.2">
      <c r="A803" s="335">
        <f t="shared" ref="A803:A808" si="273">A802+1</f>
        <v>659</v>
      </c>
      <c r="B803" s="310" t="s">
        <v>412</v>
      </c>
      <c r="C803" s="366" t="s">
        <v>121</v>
      </c>
      <c r="D803" s="254" t="s">
        <v>422</v>
      </c>
      <c r="E803" s="254">
        <v>2</v>
      </c>
      <c r="F803" s="254">
        <v>6</v>
      </c>
      <c r="G803" s="254">
        <f t="shared" si="270"/>
        <v>12</v>
      </c>
      <c r="H803" s="254"/>
      <c r="I803" s="299">
        <v>130.31</v>
      </c>
      <c r="J803" s="300">
        <v>9.86</v>
      </c>
      <c r="K803" s="299">
        <f t="shared" ref="K803:K842" si="274">ROUND(I803*J803,2)</f>
        <v>1284.8599999999999</v>
      </c>
      <c r="L803" s="301">
        <f t="shared" si="271"/>
        <v>15418.32</v>
      </c>
      <c r="M803" s="154">
        <f t="shared" si="269"/>
        <v>3083.66</v>
      </c>
      <c r="N803" s="73">
        <f t="shared" si="272"/>
        <v>18501.98</v>
      </c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64"/>
      <c r="Z803" s="77"/>
      <c r="AA803" s="18"/>
      <c r="AB803" s="22"/>
      <c r="AC803" s="22"/>
      <c r="AD803" s="22"/>
    </row>
    <row r="804" spans="1:30" s="20" customFormat="1" ht="63.75" hidden="1" x14ac:dyDescent="0.2">
      <c r="A804" s="335">
        <f t="shared" si="273"/>
        <v>660</v>
      </c>
      <c r="B804" s="310" t="s">
        <v>413</v>
      </c>
      <c r="C804" s="366" t="s">
        <v>423</v>
      </c>
      <c r="D804" s="254" t="s">
        <v>422</v>
      </c>
      <c r="E804" s="254">
        <v>2</v>
      </c>
      <c r="F804" s="254">
        <v>6</v>
      </c>
      <c r="G804" s="254">
        <f t="shared" si="270"/>
        <v>12</v>
      </c>
      <c r="H804" s="254"/>
      <c r="I804" s="299">
        <v>18.62</v>
      </c>
      <c r="J804" s="300">
        <v>9.86</v>
      </c>
      <c r="K804" s="299">
        <f t="shared" si="274"/>
        <v>183.59</v>
      </c>
      <c r="L804" s="301">
        <f t="shared" si="271"/>
        <v>2203.08</v>
      </c>
      <c r="M804" s="154">
        <f t="shared" si="269"/>
        <v>440.62</v>
      </c>
      <c r="N804" s="73">
        <f t="shared" si="272"/>
        <v>2643.7</v>
      </c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64">
        <v>17907.259999999998</v>
      </c>
      <c r="Z804" s="77">
        <v>9155.9500000000007</v>
      </c>
      <c r="AA804" s="18">
        <v>4573.5</v>
      </c>
      <c r="AB804" s="22"/>
      <c r="AC804" s="22"/>
      <c r="AD804" s="22"/>
    </row>
    <row r="805" spans="1:30" s="20" customFormat="1" ht="63.75" hidden="1" x14ac:dyDescent="0.2">
      <c r="A805" s="335">
        <f t="shared" si="273"/>
        <v>661</v>
      </c>
      <c r="B805" s="310" t="s">
        <v>414</v>
      </c>
      <c r="C805" s="366" t="s">
        <v>424</v>
      </c>
      <c r="D805" s="254" t="s">
        <v>422</v>
      </c>
      <c r="E805" s="254">
        <v>1</v>
      </c>
      <c r="F805" s="254">
        <v>2</v>
      </c>
      <c r="G805" s="254">
        <f t="shared" si="270"/>
        <v>2</v>
      </c>
      <c r="H805" s="254"/>
      <c r="I805" s="299">
        <v>161.86000000000001</v>
      </c>
      <c r="J805" s="300">
        <v>9.86</v>
      </c>
      <c r="K805" s="299">
        <f t="shared" si="274"/>
        <v>1595.94</v>
      </c>
      <c r="L805" s="301">
        <f t="shared" si="271"/>
        <v>3191.88</v>
      </c>
      <c r="M805" s="154">
        <f t="shared" si="269"/>
        <v>638.38</v>
      </c>
      <c r="N805" s="73">
        <f t="shared" si="272"/>
        <v>3830.26</v>
      </c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64"/>
      <c r="Z805" s="77">
        <v>8953.6299999999992</v>
      </c>
      <c r="AA805" s="18">
        <v>26971.200000000001</v>
      </c>
      <c r="AB805" s="22"/>
      <c r="AC805" s="22"/>
      <c r="AD805" s="22"/>
    </row>
    <row r="806" spans="1:30" s="20" customFormat="1" ht="63.75" hidden="1" x14ac:dyDescent="0.2">
      <c r="A806" s="335">
        <f t="shared" si="273"/>
        <v>662</v>
      </c>
      <c r="B806" s="310" t="s">
        <v>415</v>
      </c>
      <c r="C806" s="366" t="s">
        <v>122</v>
      </c>
      <c r="D806" s="254" t="s">
        <v>422</v>
      </c>
      <c r="E806" s="254">
        <v>1</v>
      </c>
      <c r="F806" s="254">
        <v>2</v>
      </c>
      <c r="G806" s="254">
        <f t="shared" si="270"/>
        <v>2</v>
      </c>
      <c r="H806" s="254"/>
      <c r="I806" s="299">
        <v>501.73</v>
      </c>
      <c r="J806" s="300">
        <v>9.86</v>
      </c>
      <c r="K806" s="299">
        <f t="shared" si="274"/>
        <v>4947.0600000000004</v>
      </c>
      <c r="L806" s="301">
        <f t="shared" si="271"/>
        <v>9894.1200000000008</v>
      </c>
      <c r="M806" s="154">
        <f t="shared" si="269"/>
        <v>1978.82</v>
      </c>
      <c r="N806" s="73">
        <f t="shared" si="272"/>
        <v>11872.94</v>
      </c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64"/>
      <c r="Z806" s="77">
        <v>1279.3700000000001</v>
      </c>
      <c r="AA806" s="18">
        <v>524.91999999999996</v>
      </c>
      <c r="AB806" s="22"/>
      <c r="AC806" s="22"/>
      <c r="AD806" s="22"/>
    </row>
    <row r="807" spans="1:30" s="20" customFormat="1" ht="63.75" hidden="1" x14ac:dyDescent="0.2">
      <c r="A807" s="335">
        <f t="shared" si="273"/>
        <v>663</v>
      </c>
      <c r="B807" s="310" t="s">
        <v>416</v>
      </c>
      <c r="C807" s="366" t="s">
        <v>123</v>
      </c>
      <c r="D807" s="254" t="s">
        <v>422</v>
      </c>
      <c r="E807" s="254">
        <v>2</v>
      </c>
      <c r="F807" s="254">
        <v>6</v>
      </c>
      <c r="G807" s="254">
        <f t="shared" si="270"/>
        <v>12</v>
      </c>
      <c r="H807" s="254"/>
      <c r="I807" s="299">
        <v>135.63999999999999</v>
      </c>
      <c r="J807" s="300">
        <v>9.86</v>
      </c>
      <c r="K807" s="299">
        <f t="shared" si="274"/>
        <v>1337.41</v>
      </c>
      <c r="L807" s="301">
        <f t="shared" si="271"/>
        <v>16048.92</v>
      </c>
      <c r="M807" s="154">
        <f t="shared" si="269"/>
        <v>3209.78</v>
      </c>
      <c r="N807" s="73">
        <f t="shared" si="272"/>
        <v>19258.7</v>
      </c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64"/>
      <c r="Z807" s="77">
        <v>1853.5800000000002</v>
      </c>
      <c r="AA807" s="18">
        <v>1325.04</v>
      </c>
      <c r="AB807" s="22"/>
      <c r="AC807" s="22"/>
      <c r="AD807" s="22"/>
    </row>
    <row r="808" spans="1:30" s="20" customFormat="1" ht="255" hidden="1" x14ac:dyDescent="0.2">
      <c r="A808" s="335">
        <f t="shared" si="273"/>
        <v>664</v>
      </c>
      <c r="B808" s="257" t="s">
        <v>341</v>
      </c>
      <c r="C808" s="366" t="s">
        <v>124</v>
      </c>
      <c r="D808" s="254" t="s">
        <v>429</v>
      </c>
      <c r="E808" s="254">
        <v>1442</v>
      </c>
      <c r="F808" s="254">
        <v>1</v>
      </c>
      <c r="G808" s="254">
        <f t="shared" si="270"/>
        <v>1442</v>
      </c>
      <c r="H808" s="254">
        <v>8.52</v>
      </c>
      <c r="I808" s="299">
        <f>H808/1.2</f>
        <v>7.1</v>
      </c>
      <c r="J808" s="254">
        <v>1.1140000000000001</v>
      </c>
      <c r="K808" s="299">
        <f t="shared" si="274"/>
        <v>7.91</v>
      </c>
      <c r="L808" s="301">
        <f t="shared" si="271"/>
        <v>11406.22</v>
      </c>
      <c r="M808" s="154">
        <f t="shared" si="269"/>
        <v>2281.2399999999998</v>
      </c>
      <c r="N808" s="73">
        <f t="shared" si="272"/>
        <v>13687.46</v>
      </c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64"/>
      <c r="Z808" s="77">
        <v>5745.67</v>
      </c>
      <c r="AA808" s="18">
        <v>9353.82</v>
      </c>
      <c r="AB808" s="22"/>
      <c r="AC808" s="22"/>
      <c r="AD808" s="22"/>
    </row>
    <row r="809" spans="1:30" s="20" customFormat="1" ht="76.5" hidden="1" x14ac:dyDescent="0.2">
      <c r="A809" s="335"/>
      <c r="B809" s="257"/>
      <c r="C809" s="169" t="s">
        <v>39</v>
      </c>
      <c r="D809" s="243"/>
      <c r="E809" s="243"/>
      <c r="F809" s="243"/>
      <c r="G809" s="243"/>
      <c r="H809" s="243"/>
      <c r="I809" s="243"/>
      <c r="J809" s="243"/>
      <c r="K809" s="299"/>
      <c r="L809" s="301"/>
      <c r="M809" s="154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64"/>
      <c r="Z809" s="77">
        <v>9319.9</v>
      </c>
      <c r="AA809" s="18">
        <v>9753.1200000000008</v>
      </c>
      <c r="AB809" s="22"/>
      <c r="AC809" s="22"/>
      <c r="AD809" s="22"/>
    </row>
    <row r="810" spans="1:30" s="20" customFormat="1" ht="12.75" hidden="1" x14ac:dyDescent="0.2">
      <c r="A810" s="335"/>
      <c r="B810" s="257"/>
      <c r="C810" s="176" t="s">
        <v>441</v>
      </c>
      <c r="D810" s="309"/>
      <c r="E810" s="309"/>
      <c r="F810" s="309"/>
      <c r="G810" s="378"/>
      <c r="H810" s="309"/>
      <c r="I810" s="309"/>
      <c r="J810" s="309"/>
      <c r="K810" s="299"/>
      <c r="L810" s="301"/>
      <c r="M810" s="154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178">
        <f>SUM(N811:N814)</f>
        <v>48584.86</v>
      </c>
      <c r="Z810" s="194">
        <v>26183.25</v>
      </c>
      <c r="AA810" s="196">
        <v>68696.25</v>
      </c>
      <c r="AB810" s="22"/>
      <c r="AC810" s="22"/>
      <c r="AD810" s="22"/>
    </row>
    <row r="811" spans="1:30" s="20" customFormat="1" ht="76.5" hidden="1" x14ac:dyDescent="0.2">
      <c r="A811" s="335">
        <f>A808+1</f>
        <v>665</v>
      </c>
      <c r="B811" s="257" t="s">
        <v>151</v>
      </c>
      <c r="C811" s="366" t="s">
        <v>116</v>
      </c>
      <c r="D811" s="254" t="s">
        <v>118</v>
      </c>
      <c r="E811" s="254">
        <v>1.7849999999999999</v>
      </c>
      <c r="F811" s="254">
        <v>2</v>
      </c>
      <c r="G811" s="254">
        <f>ROUND(E811*F811,2)</f>
        <v>3.57</v>
      </c>
      <c r="H811" s="254"/>
      <c r="I811" s="299">
        <v>44.32</v>
      </c>
      <c r="J811" s="300">
        <v>1.9442999999999999</v>
      </c>
      <c r="K811" s="299">
        <f t="shared" si="274"/>
        <v>86.17</v>
      </c>
      <c r="L811" s="301">
        <f>ROUND(K811*G811,2)</f>
        <v>307.63</v>
      </c>
      <c r="M811" s="154">
        <f>ROUND(L811*0.2,2)</f>
        <v>61.53</v>
      </c>
      <c r="N811" s="73">
        <f>ROUND(L811+M811,2)</f>
        <v>369.16</v>
      </c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64"/>
      <c r="Z811" s="77"/>
      <c r="AA811" s="18"/>
      <c r="AB811" s="22"/>
      <c r="AC811" s="22"/>
      <c r="AD811" s="22"/>
    </row>
    <row r="812" spans="1:30" s="20" customFormat="1" ht="76.5" hidden="1" x14ac:dyDescent="0.2">
      <c r="A812" s="335">
        <f>A811+1</f>
        <v>666</v>
      </c>
      <c r="B812" s="257" t="s">
        <v>191</v>
      </c>
      <c r="C812" s="366" t="s">
        <v>117</v>
      </c>
      <c r="D812" s="254" t="s">
        <v>432</v>
      </c>
      <c r="E812" s="254">
        <v>0.33600000000000002</v>
      </c>
      <c r="F812" s="254">
        <v>3</v>
      </c>
      <c r="G812" s="254">
        <f>ROUND(E812*F812,2)</f>
        <v>1.01</v>
      </c>
      <c r="H812" s="254"/>
      <c r="I812" s="299">
        <v>4728.2</v>
      </c>
      <c r="J812" s="300">
        <v>1.9442999999999999</v>
      </c>
      <c r="K812" s="299">
        <f t="shared" si="274"/>
        <v>9193.0400000000009</v>
      </c>
      <c r="L812" s="301">
        <f>ROUND(K812*G812,2)</f>
        <v>9284.9699999999993</v>
      </c>
      <c r="M812" s="154">
        <f>ROUND(L812*0.2,2)</f>
        <v>1856.99</v>
      </c>
      <c r="N812" s="73">
        <f>ROUND(L812+M812,2)</f>
        <v>11141.96</v>
      </c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134">
        <v>46057.93</v>
      </c>
      <c r="Z812" s="77"/>
      <c r="AA812" s="18"/>
      <c r="AB812" s="22"/>
      <c r="AC812" s="22"/>
      <c r="AD812" s="22"/>
    </row>
    <row r="813" spans="1:30" s="20" customFormat="1" ht="51" hidden="1" x14ac:dyDescent="0.2">
      <c r="A813" s="335">
        <f>A812+1</f>
        <v>667</v>
      </c>
      <c r="B813" s="366" t="s">
        <v>492</v>
      </c>
      <c r="C813" s="366" t="s">
        <v>493</v>
      </c>
      <c r="D813" s="254" t="s">
        <v>433</v>
      </c>
      <c r="E813" s="254">
        <v>178.5</v>
      </c>
      <c r="F813" s="254">
        <v>1</v>
      </c>
      <c r="G813" s="254">
        <f>ROUND(E813*F813,2)</f>
        <v>178.5</v>
      </c>
      <c r="H813" s="303"/>
      <c r="I813" s="299">
        <v>83.24</v>
      </c>
      <c r="J813" s="300">
        <v>1.9442999999999999</v>
      </c>
      <c r="K813" s="299">
        <f>ROUND(I813*J813,2)</f>
        <v>161.84</v>
      </c>
      <c r="L813" s="301">
        <f>ROUND(K813*G813,2)</f>
        <v>28888.44</v>
      </c>
      <c r="M813" s="154">
        <f>ROUND(L813*0.2,2)</f>
        <v>5777.69</v>
      </c>
      <c r="N813" s="73">
        <f>ROUND(L813+M813,2)</f>
        <v>34666.129999999997</v>
      </c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136">
        <v>24821.66</v>
      </c>
      <c r="Z813" s="77">
        <v>253.57</v>
      </c>
      <c r="AA813" s="18">
        <v>253.33</v>
      </c>
      <c r="AB813" s="22"/>
      <c r="AC813" s="22"/>
      <c r="AD813" s="22"/>
    </row>
    <row r="814" spans="1:30" s="20" customFormat="1" ht="51" hidden="1" x14ac:dyDescent="0.2">
      <c r="A814" s="335">
        <f>A813+1</f>
        <v>668</v>
      </c>
      <c r="B814" s="257" t="s">
        <v>494</v>
      </c>
      <c r="C814" s="382" t="s">
        <v>471</v>
      </c>
      <c r="D814" s="254" t="s">
        <v>433</v>
      </c>
      <c r="E814" s="254">
        <v>178.5</v>
      </c>
      <c r="F814" s="254">
        <v>2</v>
      </c>
      <c r="G814" s="254">
        <f>ROUND(E814*F814,2)</f>
        <v>357</v>
      </c>
      <c r="H814" s="303"/>
      <c r="I814" s="299">
        <v>2.89</v>
      </c>
      <c r="J814" s="300">
        <v>1.9442999999999999</v>
      </c>
      <c r="K814" s="299">
        <f>ROUND(I814*J814,2)</f>
        <v>5.62</v>
      </c>
      <c r="L814" s="301">
        <f>ROUND(K814*G814,2)</f>
        <v>2006.34</v>
      </c>
      <c r="M814" s="154">
        <f>ROUND(L814*0.2,2)</f>
        <v>401.27</v>
      </c>
      <c r="N814" s="250">
        <f>ROUND(L814+M814,2)</f>
        <v>2407.61</v>
      </c>
      <c r="O814" s="517"/>
      <c r="P814" s="517"/>
      <c r="Q814" s="517"/>
      <c r="R814" s="517"/>
      <c r="S814" s="517"/>
      <c r="T814" s="517"/>
      <c r="U814" s="517"/>
      <c r="V814" s="517"/>
      <c r="W814" s="517"/>
      <c r="X814" s="517"/>
      <c r="Y814" s="162">
        <v>92813.099999999977</v>
      </c>
      <c r="Z814" s="77">
        <v>7653.79</v>
      </c>
      <c r="AA814" s="18">
        <v>15292.65</v>
      </c>
      <c r="AB814" s="22"/>
      <c r="AC814" s="22"/>
      <c r="AD814" s="22"/>
    </row>
    <row r="815" spans="1:30" s="20" customFormat="1" ht="12.75" hidden="1" x14ac:dyDescent="0.2">
      <c r="A815" s="335"/>
      <c r="B815" s="366"/>
      <c r="C815" s="175" t="s">
        <v>530</v>
      </c>
      <c r="D815" s="375"/>
      <c r="E815" s="377"/>
      <c r="F815" s="376"/>
      <c r="G815" s="378"/>
      <c r="H815" s="303"/>
      <c r="I815" s="299"/>
      <c r="J815" s="300"/>
      <c r="K815" s="299"/>
      <c r="L815" s="301"/>
      <c r="M815" s="154"/>
      <c r="N815" s="250"/>
      <c r="O815" s="517"/>
      <c r="P815" s="517"/>
      <c r="Q815" s="517"/>
      <c r="R815" s="517"/>
      <c r="S815" s="517"/>
      <c r="T815" s="517"/>
      <c r="U815" s="517"/>
      <c r="V815" s="517"/>
      <c r="W815" s="517"/>
      <c r="X815" s="517"/>
      <c r="Y815" s="194">
        <f>N816+N817</f>
        <v>19722.77</v>
      </c>
      <c r="Z815" s="77"/>
      <c r="AA815" s="18"/>
      <c r="AB815" s="22"/>
      <c r="AC815" s="22"/>
      <c r="AD815" s="22"/>
    </row>
    <row r="816" spans="1:30" s="20" customFormat="1" ht="76.5" hidden="1" x14ac:dyDescent="0.2">
      <c r="A816" s="335">
        <f>A814+1</f>
        <v>669</v>
      </c>
      <c r="B816" s="366" t="s">
        <v>192</v>
      </c>
      <c r="C816" s="366" t="s">
        <v>119</v>
      </c>
      <c r="D816" s="254" t="s">
        <v>432</v>
      </c>
      <c r="E816" s="254">
        <v>0.33600000000000002</v>
      </c>
      <c r="F816" s="254">
        <v>3</v>
      </c>
      <c r="G816" s="254">
        <f>ROUND(E816*F816,2)</f>
        <v>1.01</v>
      </c>
      <c r="H816" s="303"/>
      <c r="I816" s="299">
        <v>7314.22</v>
      </c>
      <c r="J816" s="300">
        <v>1.9442999999999999</v>
      </c>
      <c r="K816" s="299">
        <f>ROUND(I816*J816,2)</f>
        <v>14221.04</v>
      </c>
      <c r="L816" s="301">
        <f>ROUND(K816*G816,2)</f>
        <v>14363.25</v>
      </c>
      <c r="M816" s="154">
        <f>ROUND(L816*0.2,2)</f>
        <v>2872.65</v>
      </c>
      <c r="N816" s="250">
        <f>ROUND(L816+M816,2)</f>
        <v>17235.900000000001</v>
      </c>
      <c r="O816" s="517"/>
      <c r="P816" s="517"/>
      <c r="Q816" s="517"/>
      <c r="R816" s="517"/>
      <c r="S816" s="517"/>
      <c r="T816" s="517"/>
      <c r="U816" s="517"/>
      <c r="V816" s="517"/>
      <c r="W816" s="517"/>
      <c r="X816" s="517"/>
      <c r="Y816" s="122"/>
      <c r="Z816" s="77"/>
      <c r="AA816" s="18"/>
      <c r="AB816" s="22"/>
      <c r="AC816" s="22"/>
      <c r="AD816" s="22"/>
    </row>
    <row r="817" spans="1:30" s="20" customFormat="1" ht="114.75" hidden="1" x14ac:dyDescent="0.2">
      <c r="A817" s="335">
        <f>A816+1</f>
        <v>670</v>
      </c>
      <c r="B817" s="366" t="s">
        <v>301</v>
      </c>
      <c r="C817" s="366" t="s">
        <v>120</v>
      </c>
      <c r="D817" s="254" t="s">
        <v>433</v>
      </c>
      <c r="E817" s="254">
        <v>178.5</v>
      </c>
      <c r="F817" s="254">
        <v>3</v>
      </c>
      <c r="G817" s="254">
        <f>ROUND(E817*F817,2)</f>
        <v>535.5</v>
      </c>
      <c r="H817" s="303"/>
      <c r="I817" s="299">
        <v>1.99</v>
      </c>
      <c r="J817" s="300">
        <v>1.9442999999999999</v>
      </c>
      <c r="K817" s="299">
        <f>ROUND(I817*J817,2)</f>
        <v>3.87</v>
      </c>
      <c r="L817" s="301">
        <f>ROUND(K817*G817,2)</f>
        <v>2072.39</v>
      </c>
      <c r="M817" s="154">
        <f>ROUND(L817*0.2,2)</f>
        <v>414.48</v>
      </c>
      <c r="N817" s="250">
        <f>ROUND(L817+M817,2)</f>
        <v>2486.87</v>
      </c>
      <c r="O817" s="517"/>
      <c r="P817" s="517"/>
      <c r="Q817" s="517"/>
      <c r="R817" s="517"/>
      <c r="S817" s="517"/>
      <c r="T817" s="517"/>
      <c r="U817" s="517"/>
      <c r="V817" s="517"/>
      <c r="W817" s="517"/>
      <c r="X817" s="517"/>
      <c r="Y817" s="122"/>
      <c r="Z817" s="77"/>
      <c r="AA817" s="18"/>
      <c r="AB817" s="22"/>
      <c r="AC817" s="22"/>
      <c r="AD817" s="22"/>
    </row>
    <row r="818" spans="1:30" s="20" customFormat="1" ht="38.25" hidden="1" x14ac:dyDescent="0.2">
      <c r="A818" s="335"/>
      <c r="B818" s="257"/>
      <c r="C818" s="169" t="s">
        <v>442</v>
      </c>
      <c r="D818" s="243"/>
      <c r="E818" s="243"/>
      <c r="F818" s="243"/>
      <c r="G818" s="243"/>
      <c r="H818" s="243"/>
      <c r="I818" s="258"/>
      <c r="J818" s="300"/>
      <c r="K818" s="299"/>
      <c r="L818" s="301"/>
      <c r="M818" s="154"/>
      <c r="N818" s="250"/>
      <c r="O818" s="517"/>
      <c r="P818" s="517"/>
      <c r="Q818" s="517"/>
      <c r="R818" s="517"/>
      <c r="S818" s="517"/>
      <c r="T818" s="517"/>
      <c r="U818" s="517"/>
      <c r="V818" s="517"/>
      <c r="W818" s="517"/>
      <c r="X818" s="517"/>
      <c r="Y818" s="194">
        <f>SUM(N819:N825)</f>
        <v>83297.850000000006</v>
      </c>
      <c r="Z818" s="77"/>
      <c r="AA818" s="18"/>
      <c r="AB818" s="22"/>
      <c r="AC818" s="22"/>
      <c r="AD818" s="22"/>
    </row>
    <row r="819" spans="1:30" s="20" customFormat="1" ht="76.5" hidden="1" x14ac:dyDescent="0.2">
      <c r="A819" s="335">
        <f>A817+1</f>
        <v>671</v>
      </c>
      <c r="B819" s="257" t="s">
        <v>194</v>
      </c>
      <c r="C819" s="366" t="s">
        <v>144</v>
      </c>
      <c r="D819" s="254" t="s">
        <v>422</v>
      </c>
      <c r="E819" s="254">
        <v>3</v>
      </c>
      <c r="F819" s="254">
        <v>2</v>
      </c>
      <c r="G819" s="254">
        <f t="shared" ref="G819:G825" si="275">ROUND(E819*F819,2)</f>
        <v>6</v>
      </c>
      <c r="H819" s="254"/>
      <c r="I819" s="299">
        <v>964.56</v>
      </c>
      <c r="J819" s="300">
        <v>1.9442999999999999</v>
      </c>
      <c r="K819" s="299">
        <f t="shared" si="274"/>
        <v>1875.39</v>
      </c>
      <c r="L819" s="301">
        <f>ROUND(K819*G819,2)</f>
        <v>11252.34</v>
      </c>
      <c r="M819" s="154">
        <f>ROUND(L819*0.2,2)</f>
        <v>2250.4699999999998</v>
      </c>
      <c r="N819" s="73">
        <f>ROUND(L819+M819,2)</f>
        <v>13502.81</v>
      </c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64"/>
      <c r="Z819" s="77"/>
      <c r="AA819" s="18"/>
      <c r="AB819" s="22"/>
      <c r="AC819" s="22"/>
      <c r="AD819" s="22"/>
    </row>
    <row r="820" spans="1:30" s="20" customFormat="1" ht="63.75" hidden="1" x14ac:dyDescent="0.2">
      <c r="A820" s="335">
        <f t="shared" ref="A820:A825" si="276">A819+1</f>
        <v>672</v>
      </c>
      <c r="B820" s="310" t="s">
        <v>412</v>
      </c>
      <c r="C820" s="366" t="s">
        <v>121</v>
      </c>
      <c r="D820" s="254" t="s">
        <v>422</v>
      </c>
      <c r="E820" s="254">
        <v>2</v>
      </c>
      <c r="F820" s="254">
        <v>6</v>
      </c>
      <c r="G820" s="254">
        <f t="shared" si="275"/>
        <v>12</v>
      </c>
      <c r="H820" s="254"/>
      <c r="I820" s="299">
        <v>130.31</v>
      </c>
      <c r="J820" s="300">
        <v>9.86</v>
      </c>
      <c r="K820" s="299">
        <f t="shared" si="274"/>
        <v>1284.8599999999999</v>
      </c>
      <c r="L820" s="301">
        <f t="shared" ref="L820:L842" si="277">ROUND(K820*G820,2)</f>
        <v>15418.32</v>
      </c>
      <c r="M820" s="154">
        <f t="shared" ref="M820:M842" si="278">ROUND(L820*0.2,2)</f>
        <v>3083.66</v>
      </c>
      <c r="N820" s="73">
        <f>ROUND(L820+M820,2)</f>
        <v>18501.98</v>
      </c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64"/>
      <c r="Z820" s="77"/>
      <c r="AA820" s="18"/>
      <c r="AB820" s="22"/>
      <c r="AC820" s="22"/>
      <c r="AD820" s="22"/>
    </row>
    <row r="821" spans="1:30" s="20" customFormat="1" ht="63.75" hidden="1" x14ac:dyDescent="0.2">
      <c r="A821" s="335">
        <f t="shared" si="276"/>
        <v>673</v>
      </c>
      <c r="B821" s="310" t="s">
        <v>413</v>
      </c>
      <c r="C821" s="366" t="s">
        <v>423</v>
      </c>
      <c r="D821" s="254" t="s">
        <v>422</v>
      </c>
      <c r="E821" s="254">
        <v>2</v>
      </c>
      <c r="F821" s="254">
        <v>6</v>
      </c>
      <c r="G821" s="254">
        <f t="shared" si="275"/>
        <v>12</v>
      </c>
      <c r="H821" s="254"/>
      <c r="I821" s="299">
        <v>18.62</v>
      </c>
      <c r="J821" s="300">
        <v>9.86</v>
      </c>
      <c r="K821" s="299">
        <f t="shared" si="274"/>
        <v>183.59</v>
      </c>
      <c r="L821" s="301">
        <f t="shared" si="277"/>
        <v>2203.08</v>
      </c>
      <c r="M821" s="154">
        <f t="shared" si="278"/>
        <v>440.62</v>
      </c>
      <c r="N821" s="73">
        <f>ROUND(L821+M821,2)</f>
        <v>2643.7</v>
      </c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64"/>
      <c r="Z821" s="77">
        <v>9155.9500000000007</v>
      </c>
      <c r="AA821" s="18">
        <v>4573.5</v>
      </c>
      <c r="AB821" s="22"/>
      <c r="AC821" s="22"/>
      <c r="AD821" s="22"/>
    </row>
    <row r="822" spans="1:30" s="20" customFormat="1" ht="63.75" hidden="1" x14ac:dyDescent="0.2">
      <c r="A822" s="335">
        <f t="shared" si="276"/>
        <v>674</v>
      </c>
      <c r="B822" s="310" t="s">
        <v>414</v>
      </c>
      <c r="C822" s="366" t="s">
        <v>424</v>
      </c>
      <c r="D822" s="254" t="s">
        <v>422</v>
      </c>
      <c r="E822" s="254">
        <v>1</v>
      </c>
      <c r="F822" s="254">
        <v>2</v>
      </c>
      <c r="G822" s="254">
        <f t="shared" si="275"/>
        <v>2</v>
      </c>
      <c r="H822" s="254"/>
      <c r="I822" s="299">
        <v>161.86000000000001</v>
      </c>
      <c r="J822" s="300">
        <v>9.86</v>
      </c>
      <c r="K822" s="299">
        <f t="shared" si="274"/>
        <v>1595.94</v>
      </c>
      <c r="L822" s="301">
        <f t="shared" si="277"/>
        <v>3191.88</v>
      </c>
      <c r="M822" s="154">
        <f t="shared" si="278"/>
        <v>638.38</v>
      </c>
      <c r="N822" s="73">
        <f>ROUND(L822+M822,2)</f>
        <v>3830.26</v>
      </c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64"/>
      <c r="Z822" s="77">
        <v>8953.6299999999992</v>
      </c>
      <c r="AA822" s="18">
        <v>26971.200000000001</v>
      </c>
      <c r="AB822" s="22"/>
      <c r="AC822" s="22"/>
      <c r="AD822" s="22"/>
    </row>
    <row r="823" spans="1:30" s="20" customFormat="1" ht="63.75" hidden="1" x14ac:dyDescent="0.2">
      <c r="A823" s="335">
        <f t="shared" si="276"/>
        <v>675</v>
      </c>
      <c r="B823" s="310" t="s">
        <v>415</v>
      </c>
      <c r="C823" s="366" t="s">
        <v>122</v>
      </c>
      <c r="D823" s="254" t="s">
        <v>422</v>
      </c>
      <c r="E823" s="254">
        <v>1</v>
      </c>
      <c r="F823" s="254">
        <v>2</v>
      </c>
      <c r="G823" s="254">
        <f t="shared" si="275"/>
        <v>2</v>
      </c>
      <c r="H823" s="254"/>
      <c r="I823" s="299">
        <v>501.73</v>
      </c>
      <c r="J823" s="300">
        <v>9.86</v>
      </c>
      <c r="K823" s="299">
        <f t="shared" si="274"/>
        <v>4947.0600000000004</v>
      </c>
      <c r="L823" s="301">
        <f t="shared" si="277"/>
        <v>9894.1200000000008</v>
      </c>
      <c r="M823" s="154">
        <f t="shared" si="278"/>
        <v>1978.82</v>
      </c>
      <c r="N823" s="73">
        <f t="shared" ref="N823:N857" si="279">ROUND(L823+M823,2)</f>
        <v>11872.94</v>
      </c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64"/>
      <c r="Z823" s="77">
        <v>1279.3700000000001</v>
      </c>
      <c r="AA823" s="18">
        <v>524.91999999999996</v>
      </c>
      <c r="AB823" s="22"/>
      <c r="AC823" s="22"/>
      <c r="AD823" s="22"/>
    </row>
    <row r="824" spans="1:30" s="20" customFormat="1" ht="63.75" hidden="1" x14ac:dyDescent="0.2">
      <c r="A824" s="335">
        <f t="shared" si="276"/>
        <v>676</v>
      </c>
      <c r="B824" s="310" t="s">
        <v>416</v>
      </c>
      <c r="C824" s="366" t="s">
        <v>123</v>
      </c>
      <c r="D824" s="254" t="s">
        <v>422</v>
      </c>
      <c r="E824" s="254">
        <v>2</v>
      </c>
      <c r="F824" s="254">
        <v>6</v>
      </c>
      <c r="G824" s="254">
        <f t="shared" si="275"/>
        <v>12</v>
      </c>
      <c r="H824" s="254"/>
      <c r="I824" s="299">
        <v>135.63999999999999</v>
      </c>
      <c r="J824" s="300">
        <v>9.86</v>
      </c>
      <c r="K824" s="299">
        <f t="shared" si="274"/>
        <v>1337.41</v>
      </c>
      <c r="L824" s="301">
        <f t="shared" si="277"/>
        <v>16048.92</v>
      </c>
      <c r="M824" s="154">
        <f t="shared" si="278"/>
        <v>3209.78</v>
      </c>
      <c r="N824" s="73">
        <f t="shared" si="279"/>
        <v>19258.7</v>
      </c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64"/>
      <c r="Z824" s="77">
        <v>1853.5800000000002</v>
      </c>
      <c r="AA824" s="18">
        <v>1325.04</v>
      </c>
      <c r="AB824" s="22"/>
      <c r="AC824" s="22"/>
      <c r="AD824" s="22"/>
    </row>
    <row r="825" spans="1:30" s="20" customFormat="1" ht="255" hidden="1" x14ac:dyDescent="0.2">
      <c r="A825" s="335">
        <f t="shared" si="276"/>
        <v>677</v>
      </c>
      <c r="B825" s="257" t="s">
        <v>341</v>
      </c>
      <c r="C825" s="366" t="s">
        <v>124</v>
      </c>
      <c r="D825" s="254" t="s">
        <v>429</v>
      </c>
      <c r="E825" s="254">
        <v>1442</v>
      </c>
      <c r="F825" s="254">
        <v>1</v>
      </c>
      <c r="G825" s="254">
        <f t="shared" si="275"/>
        <v>1442</v>
      </c>
      <c r="H825" s="254">
        <v>8.52</v>
      </c>
      <c r="I825" s="299">
        <f>H825/1.2</f>
        <v>7.1</v>
      </c>
      <c r="J825" s="254">
        <v>1.1140000000000001</v>
      </c>
      <c r="K825" s="299">
        <f t="shared" si="274"/>
        <v>7.91</v>
      </c>
      <c r="L825" s="301">
        <f t="shared" si="277"/>
        <v>11406.22</v>
      </c>
      <c r="M825" s="154">
        <f t="shared" si="278"/>
        <v>2281.2399999999998</v>
      </c>
      <c r="N825" s="73">
        <f t="shared" si="279"/>
        <v>13687.46</v>
      </c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64"/>
      <c r="Z825" s="77">
        <v>5745.67</v>
      </c>
      <c r="AA825" s="18">
        <v>9353.82</v>
      </c>
      <c r="AB825" s="22"/>
      <c r="AC825" s="22"/>
      <c r="AD825" s="22"/>
    </row>
    <row r="826" spans="1:30" s="20" customFormat="1" ht="51" hidden="1" x14ac:dyDescent="0.2">
      <c r="A826" s="335"/>
      <c r="B826" s="257"/>
      <c r="C826" s="213" t="s">
        <v>40</v>
      </c>
      <c r="D826" s="243"/>
      <c r="E826" s="243"/>
      <c r="F826" s="243"/>
      <c r="G826" s="243"/>
      <c r="H826" s="243"/>
      <c r="I826" s="243"/>
      <c r="J826" s="243"/>
      <c r="K826" s="299"/>
      <c r="L826" s="301"/>
      <c r="M826" s="154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64"/>
      <c r="Z826" s="77">
        <v>9319.9</v>
      </c>
      <c r="AA826" s="18">
        <v>9753.1200000000008</v>
      </c>
      <c r="AB826" s="22"/>
      <c r="AC826" s="22"/>
      <c r="AD826" s="22"/>
    </row>
    <row r="827" spans="1:30" s="20" customFormat="1" ht="12.75" hidden="1" x14ac:dyDescent="0.2">
      <c r="A827" s="335"/>
      <c r="B827" s="257"/>
      <c r="C827" s="176" t="s">
        <v>445</v>
      </c>
      <c r="D827" s="254"/>
      <c r="E827" s="254"/>
      <c r="F827" s="254"/>
      <c r="G827" s="254"/>
      <c r="H827" s="254"/>
      <c r="I827" s="254"/>
      <c r="J827" s="254"/>
      <c r="K827" s="299"/>
      <c r="L827" s="301"/>
      <c r="M827" s="154"/>
      <c r="N827" s="73"/>
      <c r="O827" s="517"/>
      <c r="P827" s="517"/>
      <c r="Q827" s="517"/>
      <c r="R827" s="517"/>
      <c r="S827" s="517"/>
      <c r="T827" s="517"/>
      <c r="U827" s="517"/>
      <c r="V827" s="517"/>
      <c r="W827" s="517"/>
      <c r="X827" s="517"/>
      <c r="Y827" s="194">
        <f>SUM(N828:N831)</f>
        <v>39217.5</v>
      </c>
      <c r="Z827" s="182">
        <v>17353.16</v>
      </c>
      <c r="AA827" s="195">
        <v>68696.25</v>
      </c>
      <c r="AB827" s="22"/>
      <c r="AC827" s="22"/>
      <c r="AD827" s="22"/>
    </row>
    <row r="828" spans="1:30" s="20" customFormat="1" ht="76.5" hidden="1" x14ac:dyDescent="0.2">
      <c r="A828" s="335">
        <f>A825+1</f>
        <v>678</v>
      </c>
      <c r="B828" s="257" t="s">
        <v>151</v>
      </c>
      <c r="C828" s="366" t="s">
        <v>116</v>
      </c>
      <c r="D828" s="254" t="s">
        <v>118</v>
      </c>
      <c r="E828" s="254">
        <v>1.5329999999999999</v>
      </c>
      <c r="F828" s="254">
        <v>2</v>
      </c>
      <c r="G828" s="254">
        <f>ROUND(E828*F828,2)</f>
        <v>3.07</v>
      </c>
      <c r="H828" s="254"/>
      <c r="I828" s="299">
        <v>44.32</v>
      </c>
      <c r="J828" s="300">
        <v>1.9442999999999999</v>
      </c>
      <c r="K828" s="299">
        <f t="shared" si="274"/>
        <v>86.17</v>
      </c>
      <c r="L828" s="301">
        <f t="shared" si="277"/>
        <v>264.54000000000002</v>
      </c>
      <c r="M828" s="154">
        <f t="shared" si="278"/>
        <v>52.91</v>
      </c>
      <c r="N828" s="73">
        <f t="shared" si="279"/>
        <v>317.45</v>
      </c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64"/>
      <c r="Z828" s="77"/>
      <c r="AA828" s="18"/>
      <c r="AB828" s="22"/>
      <c r="AC828" s="22"/>
      <c r="AD828" s="22"/>
    </row>
    <row r="829" spans="1:30" s="20" customFormat="1" ht="76.5" hidden="1" x14ac:dyDescent="0.2">
      <c r="A829" s="335">
        <f>A828+1</f>
        <v>679</v>
      </c>
      <c r="B829" s="257" t="s">
        <v>191</v>
      </c>
      <c r="C829" s="366" t="s">
        <v>117</v>
      </c>
      <c r="D829" s="254" t="s">
        <v>432</v>
      </c>
      <c r="E829" s="254">
        <v>0.21199999999999999</v>
      </c>
      <c r="F829" s="254">
        <v>3</v>
      </c>
      <c r="G829" s="254">
        <f>ROUND(E829*F829,2)</f>
        <v>0.64</v>
      </c>
      <c r="H829" s="254"/>
      <c r="I829" s="299">
        <v>4728.2</v>
      </c>
      <c r="J829" s="300">
        <v>1.9442999999999999</v>
      </c>
      <c r="K829" s="299">
        <f t="shared" si="274"/>
        <v>9193.0400000000009</v>
      </c>
      <c r="L829" s="301">
        <f t="shared" si="277"/>
        <v>5883.55</v>
      </c>
      <c r="M829" s="154">
        <f t="shared" si="278"/>
        <v>1176.71</v>
      </c>
      <c r="N829" s="73">
        <f t="shared" si="279"/>
        <v>7060.26</v>
      </c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134">
        <v>37177.89</v>
      </c>
      <c r="Z829" s="77"/>
      <c r="AA829" s="18"/>
      <c r="AB829" s="22"/>
      <c r="AC829" s="22"/>
      <c r="AD829" s="22"/>
    </row>
    <row r="830" spans="1:30" s="20" customFormat="1" ht="51" hidden="1" x14ac:dyDescent="0.2">
      <c r="A830" s="335">
        <f>A829+1</f>
        <v>680</v>
      </c>
      <c r="B830" s="366" t="s">
        <v>492</v>
      </c>
      <c r="C830" s="366" t="s">
        <v>493</v>
      </c>
      <c r="D830" s="254" t="s">
        <v>433</v>
      </c>
      <c r="E830" s="254">
        <v>153.30000000000001</v>
      </c>
      <c r="F830" s="254">
        <v>1</v>
      </c>
      <c r="G830" s="254">
        <f>ROUND(E830*F830,2)</f>
        <v>153.30000000000001</v>
      </c>
      <c r="H830" s="303"/>
      <c r="I830" s="299">
        <v>83.24</v>
      </c>
      <c r="J830" s="300">
        <v>1.9442999999999999</v>
      </c>
      <c r="K830" s="299">
        <f>ROUND(I830*J830,2)</f>
        <v>161.84</v>
      </c>
      <c r="L830" s="301">
        <f>ROUND(K830*G830,2)</f>
        <v>24810.07</v>
      </c>
      <c r="M830" s="154">
        <f t="shared" si="278"/>
        <v>4962.01</v>
      </c>
      <c r="N830" s="73">
        <f t="shared" si="279"/>
        <v>29772.080000000002</v>
      </c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64"/>
      <c r="Z830" s="77">
        <v>218.05</v>
      </c>
      <c r="AA830" s="18">
        <v>217.85</v>
      </c>
      <c r="AB830" s="22"/>
      <c r="AC830" s="22"/>
      <c r="AD830" s="22"/>
    </row>
    <row r="831" spans="1:30" s="20" customFormat="1" ht="51" hidden="1" x14ac:dyDescent="0.2">
      <c r="A831" s="335">
        <f>A830+1</f>
        <v>681</v>
      </c>
      <c r="B831" s="257" t="s">
        <v>494</v>
      </c>
      <c r="C831" s="382" t="s">
        <v>471</v>
      </c>
      <c r="D831" s="254" t="s">
        <v>433</v>
      </c>
      <c r="E831" s="254">
        <v>153.30000000000001</v>
      </c>
      <c r="F831" s="254">
        <v>2</v>
      </c>
      <c r="G831" s="254">
        <f>ROUND(E831*F831,2)</f>
        <v>306.60000000000002</v>
      </c>
      <c r="H831" s="303"/>
      <c r="I831" s="299">
        <v>2.89</v>
      </c>
      <c r="J831" s="300">
        <v>1.9442999999999999</v>
      </c>
      <c r="K831" s="299">
        <f>ROUND(I831*J831,2)</f>
        <v>5.62</v>
      </c>
      <c r="L831" s="301">
        <f>ROUND(K831*G831,2)</f>
        <v>1723.09</v>
      </c>
      <c r="M831" s="154">
        <f t="shared" si="278"/>
        <v>344.62</v>
      </c>
      <c r="N831" s="73">
        <f t="shared" si="279"/>
        <v>2067.71</v>
      </c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64"/>
      <c r="Z831" s="77">
        <v>4849.93</v>
      </c>
      <c r="AA831" s="18">
        <v>9614.69</v>
      </c>
      <c r="AB831" s="22"/>
      <c r="AC831" s="22"/>
      <c r="AD831" s="22"/>
    </row>
    <row r="832" spans="1:30" s="20" customFormat="1" ht="12.75" hidden="1" x14ac:dyDescent="0.2">
      <c r="A832" s="335"/>
      <c r="B832" s="366"/>
      <c r="C832" s="175" t="s">
        <v>530</v>
      </c>
      <c r="D832" s="375"/>
      <c r="E832" s="377"/>
      <c r="F832" s="376"/>
      <c r="G832" s="378"/>
      <c r="H832" s="303"/>
      <c r="I832" s="299"/>
      <c r="J832" s="300"/>
      <c r="K832" s="299"/>
      <c r="L832" s="301"/>
      <c r="M832" s="154"/>
      <c r="N832" s="73"/>
      <c r="O832" s="517"/>
      <c r="P832" s="517"/>
      <c r="Q832" s="517"/>
      <c r="R832" s="517"/>
      <c r="S832" s="517"/>
      <c r="T832" s="517"/>
      <c r="U832" s="517"/>
      <c r="V832" s="517"/>
      <c r="W832" s="517"/>
      <c r="X832" s="517"/>
      <c r="Y832" s="194">
        <f>N833+N834</f>
        <v>13057.53</v>
      </c>
      <c r="Z832" s="77"/>
      <c r="AA832" s="18"/>
      <c r="AB832" s="22"/>
      <c r="AC832" s="22"/>
      <c r="AD832" s="22"/>
    </row>
    <row r="833" spans="1:30" s="20" customFormat="1" ht="76.5" hidden="1" x14ac:dyDescent="0.2">
      <c r="A833" s="335">
        <f>A831+1</f>
        <v>682</v>
      </c>
      <c r="B833" s="366" t="s">
        <v>192</v>
      </c>
      <c r="C833" s="366" t="s">
        <v>119</v>
      </c>
      <c r="D833" s="254" t="s">
        <v>432</v>
      </c>
      <c r="E833" s="254">
        <v>0.21199999999999999</v>
      </c>
      <c r="F833" s="254">
        <v>3</v>
      </c>
      <c r="G833" s="254">
        <f>ROUND(E833*F833,2)</f>
        <v>0.64</v>
      </c>
      <c r="H833" s="303"/>
      <c r="I833" s="299">
        <v>7314.22</v>
      </c>
      <c r="J833" s="300">
        <v>1.9442999999999999</v>
      </c>
      <c r="K833" s="299">
        <f>ROUND(I833*J833,2)</f>
        <v>14221.04</v>
      </c>
      <c r="L833" s="301">
        <f>ROUND(K833*G833,2)</f>
        <v>9101.4699999999993</v>
      </c>
      <c r="M833" s="154">
        <f>ROUND(L833*0.2,2)</f>
        <v>1820.29</v>
      </c>
      <c r="N833" s="73">
        <f>ROUND(L833+M833,2)</f>
        <v>10921.76</v>
      </c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64"/>
      <c r="Z833" s="77"/>
      <c r="AA833" s="18"/>
      <c r="AB833" s="22"/>
      <c r="AC833" s="22"/>
      <c r="AD833" s="22"/>
    </row>
    <row r="834" spans="1:30" s="20" customFormat="1" ht="114.75" hidden="1" x14ac:dyDescent="0.2">
      <c r="A834" s="335">
        <f>A833+1</f>
        <v>683</v>
      </c>
      <c r="B834" s="366" t="s">
        <v>301</v>
      </c>
      <c r="C834" s="366" t="s">
        <v>120</v>
      </c>
      <c r="D834" s="254" t="s">
        <v>433</v>
      </c>
      <c r="E834" s="254">
        <v>153.30000000000001</v>
      </c>
      <c r="F834" s="254">
        <v>3</v>
      </c>
      <c r="G834" s="254">
        <f>ROUND(E834*F834,2)</f>
        <v>459.9</v>
      </c>
      <c r="H834" s="303"/>
      <c r="I834" s="299">
        <v>1.99</v>
      </c>
      <c r="J834" s="300">
        <v>1.9442999999999999</v>
      </c>
      <c r="K834" s="299">
        <f>ROUND(I834*J834,2)</f>
        <v>3.87</v>
      </c>
      <c r="L834" s="301">
        <f>ROUND(K834*G834,2)</f>
        <v>1779.81</v>
      </c>
      <c r="M834" s="154">
        <f>ROUND(L834*0.2,2)</f>
        <v>355.96</v>
      </c>
      <c r="N834" s="73">
        <f>ROUND(L834+M834,2)</f>
        <v>2135.77</v>
      </c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145">
        <v>16450.98</v>
      </c>
      <c r="Z834" s="77"/>
      <c r="AA834" s="18"/>
      <c r="AB834" s="22"/>
      <c r="AC834" s="22"/>
      <c r="AD834" s="22"/>
    </row>
    <row r="835" spans="1:30" s="20" customFormat="1" ht="38.25" hidden="1" x14ac:dyDescent="0.2">
      <c r="A835" s="335"/>
      <c r="B835" s="257"/>
      <c r="C835" s="169" t="s">
        <v>442</v>
      </c>
      <c r="D835" s="243"/>
      <c r="E835" s="243"/>
      <c r="F835" s="243"/>
      <c r="G835" s="243"/>
      <c r="H835" s="243"/>
      <c r="I835" s="243"/>
      <c r="J835" s="300"/>
      <c r="K835" s="299"/>
      <c r="L835" s="301"/>
      <c r="M835" s="154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144">
        <v>92813.1</v>
      </c>
      <c r="Z835" s="194">
        <f>SUM(N836:N842)</f>
        <v>83297.850000000006</v>
      </c>
      <c r="AA835" s="18"/>
      <c r="AB835" s="22"/>
      <c r="AC835" s="22"/>
      <c r="AD835" s="22"/>
    </row>
    <row r="836" spans="1:30" s="20" customFormat="1" ht="76.5" hidden="1" x14ac:dyDescent="0.2">
      <c r="A836" s="335">
        <f>A834+1</f>
        <v>684</v>
      </c>
      <c r="B836" s="257" t="s">
        <v>194</v>
      </c>
      <c r="C836" s="366" t="s">
        <v>144</v>
      </c>
      <c r="D836" s="254" t="s">
        <v>422</v>
      </c>
      <c r="E836" s="254">
        <v>3</v>
      </c>
      <c r="F836" s="254">
        <v>2</v>
      </c>
      <c r="G836" s="254">
        <f t="shared" ref="G836:G841" si="280">ROUND(E836*F836,2)</f>
        <v>6</v>
      </c>
      <c r="H836" s="254"/>
      <c r="I836" s="299">
        <v>964.56</v>
      </c>
      <c r="J836" s="300">
        <v>1.9442999999999999</v>
      </c>
      <c r="K836" s="299">
        <f t="shared" si="274"/>
        <v>1875.39</v>
      </c>
      <c r="L836" s="301">
        <f t="shared" si="277"/>
        <v>11252.34</v>
      </c>
      <c r="M836" s="154">
        <f t="shared" si="278"/>
        <v>2250.4699999999998</v>
      </c>
      <c r="N836" s="73">
        <f t="shared" si="279"/>
        <v>13502.81</v>
      </c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64"/>
      <c r="Z836" s="77"/>
      <c r="AA836" s="18"/>
      <c r="AB836" s="22"/>
      <c r="AC836" s="22"/>
      <c r="AD836" s="22"/>
    </row>
    <row r="837" spans="1:30" s="20" customFormat="1" ht="63.75" hidden="1" x14ac:dyDescent="0.2">
      <c r="A837" s="335">
        <f t="shared" ref="A837:A842" si="281">A836+1</f>
        <v>685</v>
      </c>
      <c r="B837" s="310" t="s">
        <v>412</v>
      </c>
      <c r="C837" s="366" t="s">
        <v>121</v>
      </c>
      <c r="D837" s="254" t="s">
        <v>422</v>
      </c>
      <c r="E837" s="254">
        <v>2</v>
      </c>
      <c r="F837" s="254">
        <v>6</v>
      </c>
      <c r="G837" s="254">
        <f t="shared" si="280"/>
        <v>12</v>
      </c>
      <c r="H837" s="254"/>
      <c r="I837" s="299">
        <v>130.31</v>
      </c>
      <c r="J837" s="300">
        <v>9.86</v>
      </c>
      <c r="K837" s="299">
        <f t="shared" si="274"/>
        <v>1284.8599999999999</v>
      </c>
      <c r="L837" s="301">
        <f t="shared" si="277"/>
        <v>15418.32</v>
      </c>
      <c r="M837" s="154">
        <f t="shared" si="278"/>
        <v>3083.66</v>
      </c>
      <c r="N837" s="73">
        <f t="shared" si="279"/>
        <v>18501.98</v>
      </c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64"/>
      <c r="Z837" s="77"/>
      <c r="AA837" s="18"/>
      <c r="AB837" s="22"/>
      <c r="AC837" s="22"/>
      <c r="AD837" s="22"/>
    </row>
    <row r="838" spans="1:30" s="20" customFormat="1" ht="63.75" hidden="1" x14ac:dyDescent="0.2">
      <c r="A838" s="335">
        <f t="shared" si="281"/>
        <v>686</v>
      </c>
      <c r="B838" s="310" t="s">
        <v>413</v>
      </c>
      <c r="C838" s="366" t="s">
        <v>423</v>
      </c>
      <c r="D838" s="254" t="s">
        <v>422</v>
      </c>
      <c r="E838" s="254">
        <v>2</v>
      </c>
      <c r="F838" s="254">
        <v>6</v>
      </c>
      <c r="G838" s="254">
        <f t="shared" si="280"/>
        <v>12</v>
      </c>
      <c r="H838" s="254"/>
      <c r="I838" s="299">
        <v>18.62</v>
      </c>
      <c r="J838" s="300">
        <v>9.86</v>
      </c>
      <c r="K838" s="299">
        <f t="shared" si="274"/>
        <v>183.59</v>
      </c>
      <c r="L838" s="301">
        <f t="shared" si="277"/>
        <v>2203.08</v>
      </c>
      <c r="M838" s="154">
        <f t="shared" si="278"/>
        <v>440.62</v>
      </c>
      <c r="N838" s="73">
        <f t="shared" si="279"/>
        <v>2643.7</v>
      </c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64"/>
      <c r="Z838" s="77">
        <v>9155.9500000000007</v>
      </c>
      <c r="AA838" s="18">
        <v>4573.5</v>
      </c>
      <c r="AB838" s="22"/>
      <c r="AC838" s="22"/>
      <c r="AD838" s="22"/>
    </row>
    <row r="839" spans="1:30" s="20" customFormat="1" ht="63.75" hidden="1" x14ac:dyDescent="0.2">
      <c r="A839" s="335">
        <f t="shared" si="281"/>
        <v>687</v>
      </c>
      <c r="B839" s="310" t="s">
        <v>414</v>
      </c>
      <c r="C839" s="366" t="s">
        <v>424</v>
      </c>
      <c r="D839" s="254" t="s">
        <v>422</v>
      </c>
      <c r="E839" s="254">
        <v>1</v>
      </c>
      <c r="F839" s="254">
        <v>2</v>
      </c>
      <c r="G839" s="254">
        <f t="shared" si="280"/>
        <v>2</v>
      </c>
      <c r="H839" s="254"/>
      <c r="I839" s="299">
        <v>161.86000000000001</v>
      </c>
      <c r="J839" s="300">
        <v>9.86</v>
      </c>
      <c r="K839" s="299">
        <f t="shared" si="274"/>
        <v>1595.94</v>
      </c>
      <c r="L839" s="301">
        <f t="shared" si="277"/>
        <v>3191.88</v>
      </c>
      <c r="M839" s="154">
        <f t="shared" si="278"/>
        <v>638.38</v>
      </c>
      <c r="N839" s="73">
        <f t="shared" si="279"/>
        <v>3830.26</v>
      </c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64"/>
      <c r="Z839" s="77">
        <v>8953.6299999999992</v>
      </c>
      <c r="AA839" s="18">
        <v>26971.200000000001</v>
      </c>
      <c r="AB839" s="22"/>
      <c r="AC839" s="22"/>
      <c r="AD839" s="22"/>
    </row>
    <row r="840" spans="1:30" s="20" customFormat="1" ht="63.75" hidden="1" x14ac:dyDescent="0.2">
      <c r="A840" s="335">
        <f t="shared" si="281"/>
        <v>688</v>
      </c>
      <c r="B840" s="310" t="s">
        <v>415</v>
      </c>
      <c r="C840" s="366" t="s">
        <v>122</v>
      </c>
      <c r="D840" s="254" t="s">
        <v>422</v>
      </c>
      <c r="E840" s="254">
        <v>1</v>
      </c>
      <c r="F840" s="254">
        <v>2</v>
      </c>
      <c r="G840" s="254">
        <f t="shared" si="280"/>
        <v>2</v>
      </c>
      <c r="H840" s="254"/>
      <c r="I840" s="299">
        <v>501.73</v>
      </c>
      <c r="J840" s="300">
        <v>9.86</v>
      </c>
      <c r="K840" s="299">
        <f t="shared" si="274"/>
        <v>4947.0600000000004</v>
      </c>
      <c r="L840" s="301">
        <f t="shared" si="277"/>
        <v>9894.1200000000008</v>
      </c>
      <c r="M840" s="154">
        <f t="shared" si="278"/>
        <v>1978.82</v>
      </c>
      <c r="N840" s="73">
        <f t="shared" si="279"/>
        <v>11872.94</v>
      </c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64"/>
      <c r="Z840" s="77">
        <v>1279.3700000000001</v>
      </c>
      <c r="AA840" s="18">
        <v>524.91999999999996</v>
      </c>
      <c r="AB840" s="22"/>
      <c r="AC840" s="22"/>
      <c r="AD840" s="22"/>
    </row>
    <row r="841" spans="1:30" s="20" customFormat="1" ht="63.75" hidden="1" x14ac:dyDescent="0.2">
      <c r="A841" s="335">
        <f t="shared" si="281"/>
        <v>689</v>
      </c>
      <c r="B841" s="310" t="s">
        <v>416</v>
      </c>
      <c r="C841" s="366" t="s">
        <v>123</v>
      </c>
      <c r="D841" s="254" t="s">
        <v>422</v>
      </c>
      <c r="E841" s="254">
        <v>2</v>
      </c>
      <c r="F841" s="254">
        <v>6</v>
      </c>
      <c r="G841" s="254">
        <f t="shared" si="280"/>
        <v>12</v>
      </c>
      <c r="H841" s="254"/>
      <c r="I841" s="299">
        <v>135.63999999999999</v>
      </c>
      <c r="J841" s="300">
        <v>9.86</v>
      </c>
      <c r="K841" s="299">
        <f t="shared" si="274"/>
        <v>1337.41</v>
      </c>
      <c r="L841" s="301">
        <f t="shared" si="277"/>
        <v>16048.92</v>
      </c>
      <c r="M841" s="154">
        <f t="shared" si="278"/>
        <v>3209.78</v>
      </c>
      <c r="N841" s="73">
        <f t="shared" si="279"/>
        <v>19258.7</v>
      </c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64"/>
      <c r="Z841" s="77">
        <v>1853.5800000000002</v>
      </c>
      <c r="AA841" s="18">
        <v>1325.04</v>
      </c>
      <c r="AB841" s="22"/>
      <c r="AC841" s="22"/>
      <c r="AD841" s="22"/>
    </row>
    <row r="842" spans="1:30" s="20" customFormat="1" ht="255" hidden="1" x14ac:dyDescent="0.2">
      <c r="A842" s="335">
        <f t="shared" si="281"/>
        <v>690</v>
      </c>
      <c r="B842" s="257" t="s">
        <v>341</v>
      </c>
      <c r="C842" s="366" t="s">
        <v>124</v>
      </c>
      <c r="D842" s="254" t="s">
        <v>429</v>
      </c>
      <c r="E842" s="254">
        <v>1442</v>
      </c>
      <c r="F842" s="254">
        <v>1</v>
      </c>
      <c r="G842" s="254">
        <f>ROUND(E842*F842,2)</f>
        <v>1442</v>
      </c>
      <c r="H842" s="254">
        <v>8.52</v>
      </c>
      <c r="I842" s="299">
        <f>H842/1.2</f>
        <v>7.1</v>
      </c>
      <c r="J842" s="254">
        <v>1.1140000000000001</v>
      </c>
      <c r="K842" s="299">
        <f t="shared" si="274"/>
        <v>7.91</v>
      </c>
      <c r="L842" s="301">
        <f t="shared" si="277"/>
        <v>11406.22</v>
      </c>
      <c r="M842" s="154">
        <f t="shared" si="278"/>
        <v>2281.2399999999998</v>
      </c>
      <c r="N842" s="73">
        <f t="shared" si="279"/>
        <v>13687.46</v>
      </c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64"/>
      <c r="Z842" s="77">
        <v>5745.67</v>
      </c>
      <c r="AA842" s="18">
        <v>9353.82</v>
      </c>
      <c r="AB842" s="22"/>
      <c r="AC842" s="22"/>
      <c r="AD842" s="22"/>
    </row>
    <row r="843" spans="1:30" s="20" customFormat="1" ht="25.5" hidden="1" x14ac:dyDescent="0.2">
      <c r="A843" s="335"/>
      <c r="B843" s="307"/>
      <c r="C843" s="68" t="s">
        <v>401</v>
      </c>
      <c r="D843" s="259"/>
      <c r="E843" s="259"/>
      <c r="F843" s="259"/>
      <c r="G843" s="259"/>
      <c r="H843" s="259"/>
      <c r="I843" s="259"/>
      <c r="J843" s="259"/>
      <c r="K843" s="259"/>
      <c r="L843" s="259"/>
      <c r="M843" s="259"/>
      <c r="N843" s="73"/>
      <c r="O843" s="517"/>
      <c r="P843" s="517"/>
      <c r="Q843" s="517"/>
      <c r="R843" s="517"/>
      <c r="S843" s="517"/>
      <c r="T843" s="517"/>
      <c r="U843" s="517"/>
      <c r="V843" s="517"/>
      <c r="W843" s="517"/>
      <c r="X843" s="517"/>
      <c r="Y843" s="194">
        <f>SUM(N846:N886)</f>
        <v>127123.28</v>
      </c>
      <c r="Z843" s="77">
        <v>9319.9</v>
      </c>
      <c r="AA843" s="18">
        <v>9753.1200000000008</v>
      </c>
      <c r="AB843" s="22"/>
      <c r="AC843" s="22"/>
      <c r="AD843" s="22"/>
    </row>
    <row r="844" spans="1:30" s="20" customFormat="1" ht="38.25" hidden="1" x14ac:dyDescent="0.2">
      <c r="A844" s="335"/>
      <c r="B844" s="307"/>
      <c r="C844" s="68" t="s">
        <v>41</v>
      </c>
      <c r="D844" s="259"/>
      <c r="E844" s="259"/>
      <c r="F844" s="259"/>
      <c r="G844" s="259"/>
      <c r="H844" s="259"/>
      <c r="I844" s="259"/>
      <c r="J844" s="259"/>
      <c r="K844" s="259"/>
      <c r="L844" s="259"/>
      <c r="M844" s="259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64"/>
      <c r="Z844" s="77">
        <v>4216.3899999999994</v>
      </c>
      <c r="AA844" s="18">
        <v>28345.200000000001</v>
      </c>
      <c r="AB844" s="22"/>
      <c r="AC844" s="22"/>
      <c r="AD844" s="22"/>
    </row>
    <row r="845" spans="1:30" s="20" customFormat="1" ht="12.75" hidden="1" x14ac:dyDescent="0.2">
      <c r="A845" s="350"/>
      <c r="B845" s="245"/>
      <c r="C845" s="67" t="s">
        <v>42</v>
      </c>
      <c r="D845" s="231"/>
      <c r="E845" s="231"/>
      <c r="F845" s="231"/>
      <c r="G845" s="231"/>
      <c r="H845" s="359"/>
      <c r="I845" s="359"/>
      <c r="J845" s="254"/>
      <c r="K845" s="299"/>
      <c r="L845" s="301"/>
      <c r="M845" s="154"/>
      <c r="N845" s="250"/>
      <c r="O845" s="528">
        <v>580353.25</v>
      </c>
      <c r="P845" s="73"/>
      <c r="Q845" s="73"/>
      <c r="R845" s="73"/>
      <c r="S845" s="73"/>
      <c r="T845" s="73"/>
      <c r="U845" s="73"/>
      <c r="V845" s="73"/>
      <c r="W845" s="73"/>
      <c r="X845" s="73"/>
      <c r="Y845" s="64"/>
      <c r="Z845" s="77"/>
      <c r="AA845" s="18"/>
      <c r="AB845" s="22"/>
      <c r="AC845" s="22"/>
      <c r="AD845" s="22"/>
    </row>
    <row r="846" spans="1:30" s="20" customFormat="1" ht="165.75" hidden="1" x14ac:dyDescent="0.2">
      <c r="A846" s="335">
        <f>A842+1</f>
        <v>691</v>
      </c>
      <c r="B846" s="245" t="s">
        <v>353</v>
      </c>
      <c r="C846" s="386" t="s">
        <v>368</v>
      </c>
      <c r="D846" s="303" t="s">
        <v>354</v>
      </c>
      <c r="E846" s="254">
        <v>0.49220000000000003</v>
      </c>
      <c r="F846" s="254">
        <v>1</v>
      </c>
      <c r="G846" s="303">
        <f>E846*F846</f>
        <v>0.49220000000000003</v>
      </c>
      <c r="H846" s="359">
        <v>279.35000000000002</v>
      </c>
      <c r="I846" s="359">
        <f t="shared" ref="I846:I876" si="282">H846/1.2</f>
        <v>232.79166666666669</v>
      </c>
      <c r="J846" s="254">
        <v>13.046200000000001</v>
      </c>
      <c r="K846" s="299">
        <f t="shared" ref="K846:K875" si="283">ROUND(I846*J846,2)</f>
        <v>3037.05</v>
      </c>
      <c r="L846" s="301">
        <f t="shared" ref="L846:L876" si="284">ROUND(K846*G846,2)</f>
        <v>1494.84</v>
      </c>
      <c r="M846" s="154">
        <f t="shared" ref="M846:M875" si="285">ROUND(L846*0.2,2)</f>
        <v>298.97000000000003</v>
      </c>
      <c r="N846" s="250">
        <f t="shared" si="279"/>
        <v>1793.81</v>
      </c>
      <c r="O846" s="515"/>
      <c r="P846" s="515"/>
      <c r="Q846" s="515"/>
      <c r="R846" s="515"/>
      <c r="S846" s="515"/>
      <c r="T846" s="515"/>
      <c r="U846" s="515"/>
      <c r="V846" s="515"/>
      <c r="W846" s="515"/>
      <c r="X846" s="515"/>
      <c r="Y846" s="120"/>
      <c r="Z846" s="77"/>
      <c r="AA846" s="18"/>
      <c r="AB846" s="22"/>
      <c r="AC846" s="22"/>
      <c r="AD846" s="22"/>
    </row>
    <row r="847" spans="1:30" s="44" customFormat="1" ht="178.5" hidden="1" x14ac:dyDescent="0.2">
      <c r="A847" s="335">
        <f>A846+1</f>
        <v>692</v>
      </c>
      <c r="B847" s="245" t="s">
        <v>349</v>
      </c>
      <c r="C847" s="386" t="s">
        <v>356</v>
      </c>
      <c r="D847" s="330" t="s">
        <v>355</v>
      </c>
      <c r="E847" s="254">
        <v>3.1980000000000001E-2</v>
      </c>
      <c r="F847" s="254">
        <v>1</v>
      </c>
      <c r="G847" s="303">
        <f t="shared" ref="G847:G866" si="286">E847*F847</f>
        <v>3.1980000000000001E-2</v>
      </c>
      <c r="H847" s="359">
        <v>19696.099999999999</v>
      </c>
      <c r="I847" s="359">
        <f t="shared" si="282"/>
        <v>16413.416666666668</v>
      </c>
      <c r="J847" s="254">
        <v>13.046200000000001</v>
      </c>
      <c r="K847" s="299">
        <f t="shared" si="283"/>
        <v>214132.72</v>
      </c>
      <c r="L847" s="301">
        <f t="shared" si="284"/>
        <v>6847.96</v>
      </c>
      <c r="M847" s="154">
        <f t="shared" si="285"/>
        <v>1369.59</v>
      </c>
      <c r="N847" s="250">
        <f t="shared" si="279"/>
        <v>8217.5499999999993</v>
      </c>
      <c r="O847" s="515"/>
      <c r="P847" s="515"/>
      <c r="Q847" s="515"/>
      <c r="R847" s="515"/>
      <c r="S847" s="515"/>
      <c r="T847" s="515"/>
      <c r="U847" s="515"/>
      <c r="V847" s="515"/>
      <c r="W847" s="515"/>
      <c r="X847" s="515"/>
      <c r="Y847" s="120"/>
      <c r="Z847" s="102">
        <v>0</v>
      </c>
      <c r="AA847" s="43"/>
      <c r="AB847" s="49"/>
      <c r="AC847" s="45"/>
      <c r="AD847" s="46"/>
    </row>
    <row r="848" spans="1:30" s="44" customFormat="1" ht="178.5" hidden="1" x14ac:dyDescent="0.2">
      <c r="A848" s="335">
        <f t="shared" ref="A848:A856" si="287">A847+1</f>
        <v>693</v>
      </c>
      <c r="B848" s="245" t="s">
        <v>347</v>
      </c>
      <c r="C848" s="386" t="s">
        <v>357</v>
      </c>
      <c r="D848" s="303" t="s">
        <v>355</v>
      </c>
      <c r="E848" s="254">
        <v>1.23E-2</v>
      </c>
      <c r="F848" s="254">
        <v>1</v>
      </c>
      <c r="G848" s="303">
        <f t="shared" si="286"/>
        <v>1.23E-2</v>
      </c>
      <c r="H848" s="359">
        <v>437.82</v>
      </c>
      <c r="I848" s="359">
        <f t="shared" si="282"/>
        <v>364.85</v>
      </c>
      <c r="J848" s="254">
        <v>13.046200000000001</v>
      </c>
      <c r="K848" s="299">
        <f t="shared" si="283"/>
        <v>4759.91</v>
      </c>
      <c r="L848" s="301">
        <f t="shared" si="284"/>
        <v>58.55</v>
      </c>
      <c r="M848" s="154">
        <f t="shared" si="285"/>
        <v>11.71</v>
      </c>
      <c r="N848" s="250">
        <f t="shared" si="279"/>
        <v>70.260000000000005</v>
      </c>
      <c r="O848" s="515"/>
      <c r="P848" s="515"/>
      <c r="Q848" s="515"/>
      <c r="R848" s="515"/>
      <c r="S848" s="515"/>
      <c r="T848" s="515"/>
      <c r="U848" s="515"/>
      <c r="V848" s="515"/>
      <c r="W848" s="515"/>
      <c r="X848" s="515"/>
      <c r="Y848" s="120"/>
      <c r="Z848" s="102">
        <v>1736.1491262830002</v>
      </c>
      <c r="AA848" s="43">
        <v>1521.07</v>
      </c>
      <c r="AC848" s="45">
        <v>0.14000000000000001</v>
      </c>
      <c r="AD848" s="46" t="s">
        <v>371</v>
      </c>
    </row>
    <row r="849" spans="1:30" s="44" customFormat="1" ht="165.75" hidden="1" x14ac:dyDescent="0.2">
      <c r="A849" s="335">
        <f t="shared" si="287"/>
        <v>694</v>
      </c>
      <c r="B849" s="245" t="s">
        <v>353</v>
      </c>
      <c r="C849" s="386" t="s">
        <v>394</v>
      </c>
      <c r="D849" s="303" t="s">
        <v>354</v>
      </c>
      <c r="E849" s="254">
        <v>3.0486</v>
      </c>
      <c r="F849" s="254">
        <v>1</v>
      </c>
      <c r="G849" s="303">
        <f t="shared" si="286"/>
        <v>3.0486</v>
      </c>
      <c r="H849" s="359">
        <v>279.35000000000002</v>
      </c>
      <c r="I849" s="359">
        <f t="shared" si="282"/>
        <v>232.79166666666669</v>
      </c>
      <c r="J849" s="254">
        <v>13.046200000000001</v>
      </c>
      <c r="K849" s="299">
        <f t="shared" si="283"/>
        <v>3037.05</v>
      </c>
      <c r="L849" s="301">
        <f t="shared" si="284"/>
        <v>9258.75</v>
      </c>
      <c r="M849" s="154">
        <f t="shared" si="285"/>
        <v>1851.75</v>
      </c>
      <c r="N849" s="250">
        <f t="shared" si="279"/>
        <v>11110.5</v>
      </c>
      <c r="O849" s="515"/>
      <c r="P849" s="515"/>
      <c r="Q849" s="515"/>
      <c r="R849" s="515"/>
      <c r="S849" s="515"/>
      <c r="T849" s="515"/>
      <c r="U849" s="515"/>
      <c r="V849" s="515"/>
      <c r="W849" s="515"/>
      <c r="X849" s="515"/>
      <c r="Y849" s="120"/>
      <c r="Z849" s="102">
        <v>7953.4479091781996</v>
      </c>
      <c r="AA849" s="43">
        <v>6968.12</v>
      </c>
      <c r="AC849" s="47" t="s">
        <v>377</v>
      </c>
      <c r="AD849" s="46">
        <v>19696.099999999999</v>
      </c>
    </row>
    <row r="850" spans="1:30" s="44" customFormat="1" ht="178.5" hidden="1" x14ac:dyDescent="0.2">
      <c r="A850" s="335">
        <f t="shared" si="287"/>
        <v>695</v>
      </c>
      <c r="B850" s="245" t="s">
        <v>349</v>
      </c>
      <c r="C850" s="386" t="s">
        <v>356</v>
      </c>
      <c r="D850" s="330" t="s">
        <v>355</v>
      </c>
      <c r="E850" s="254">
        <v>0.18293999999999996</v>
      </c>
      <c r="F850" s="254">
        <v>1</v>
      </c>
      <c r="G850" s="329">
        <f t="shared" si="286"/>
        <v>0.18293999999999996</v>
      </c>
      <c r="H850" s="359">
        <v>19696.099999999999</v>
      </c>
      <c r="I850" s="359">
        <f t="shared" si="282"/>
        <v>16413.416666666668</v>
      </c>
      <c r="J850" s="254">
        <v>13.046200000000001</v>
      </c>
      <c r="K850" s="299">
        <f t="shared" si="283"/>
        <v>214132.72</v>
      </c>
      <c r="L850" s="301">
        <f t="shared" si="284"/>
        <v>39173.440000000002</v>
      </c>
      <c r="M850" s="154">
        <f t="shared" si="285"/>
        <v>7834.69</v>
      </c>
      <c r="N850" s="250">
        <f t="shared" si="279"/>
        <v>47008.13</v>
      </c>
      <c r="O850" s="515"/>
      <c r="P850" s="515"/>
      <c r="Q850" s="515"/>
      <c r="R850" s="515"/>
      <c r="S850" s="515"/>
      <c r="T850" s="515"/>
      <c r="U850" s="515"/>
      <c r="V850" s="515"/>
      <c r="W850" s="515"/>
      <c r="X850" s="515"/>
      <c r="Y850" s="120"/>
      <c r="Z850" s="102">
        <v>67.998205103399997</v>
      </c>
      <c r="AA850" s="43">
        <v>59.57</v>
      </c>
      <c r="AC850" s="45">
        <v>3.5000000000000003E-2</v>
      </c>
      <c r="AD850" s="46">
        <v>437.82</v>
      </c>
    </row>
    <row r="851" spans="1:30" s="44" customFormat="1" ht="178.5" hidden="1" x14ac:dyDescent="0.2">
      <c r="A851" s="335">
        <f t="shared" si="287"/>
        <v>696</v>
      </c>
      <c r="B851" s="245" t="s">
        <v>347</v>
      </c>
      <c r="C851" s="386" t="s">
        <v>357</v>
      </c>
      <c r="D851" s="303" t="s">
        <v>355</v>
      </c>
      <c r="E851" s="254">
        <v>7.6225000000000001E-2</v>
      </c>
      <c r="F851" s="254">
        <v>1</v>
      </c>
      <c r="G851" s="329">
        <f t="shared" si="286"/>
        <v>7.6225000000000001E-2</v>
      </c>
      <c r="H851" s="359">
        <v>437.82</v>
      </c>
      <c r="I851" s="359">
        <f t="shared" si="282"/>
        <v>364.85</v>
      </c>
      <c r="J851" s="254">
        <v>13.046200000000001</v>
      </c>
      <c r="K851" s="299">
        <f t="shared" si="283"/>
        <v>4759.91</v>
      </c>
      <c r="L851" s="301">
        <f t="shared" si="284"/>
        <v>362.82</v>
      </c>
      <c r="M851" s="154">
        <f t="shared" si="285"/>
        <v>72.56</v>
      </c>
      <c r="N851" s="250">
        <f t="shared" si="279"/>
        <v>435.38</v>
      </c>
      <c r="O851" s="515"/>
      <c r="P851" s="515"/>
      <c r="Q851" s="515"/>
      <c r="R851" s="515"/>
      <c r="S851" s="515"/>
      <c r="T851" s="515"/>
      <c r="U851" s="515"/>
      <c r="V851" s="515"/>
      <c r="W851" s="515"/>
      <c r="X851" s="515"/>
      <c r="Y851" s="120"/>
      <c r="Z851" s="102">
        <v>10753.401516428999</v>
      </c>
      <c r="AA851" s="43">
        <v>9421.2099999999991</v>
      </c>
      <c r="AC851" s="45">
        <v>0.12</v>
      </c>
      <c r="AD851" s="46" t="s">
        <v>371</v>
      </c>
    </row>
    <row r="852" spans="1:30" s="44" customFormat="1" ht="165.75" hidden="1" x14ac:dyDescent="0.2">
      <c r="A852" s="335">
        <f t="shared" si="287"/>
        <v>697</v>
      </c>
      <c r="B852" s="245" t="s">
        <v>348</v>
      </c>
      <c r="C852" s="386" t="s">
        <v>393</v>
      </c>
      <c r="D852" s="303" t="s">
        <v>354</v>
      </c>
      <c r="E852" s="254">
        <v>0.56269999999999998</v>
      </c>
      <c r="F852" s="254">
        <v>1</v>
      </c>
      <c r="G852" s="303">
        <f t="shared" si="286"/>
        <v>0.56269999999999998</v>
      </c>
      <c r="H852" s="359">
        <v>279.35000000000002</v>
      </c>
      <c r="I852" s="359">
        <f t="shared" si="282"/>
        <v>232.79166666666669</v>
      </c>
      <c r="J852" s="254">
        <v>13.046200000000001</v>
      </c>
      <c r="K852" s="299">
        <f t="shared" si="283"/>
        <v>3037.05</v>
      </c>
      <c r="L852" s="301">
        <f t="shared" si="284"/>
        <v>1708.95</v>
      </c>
      <c r="M852" s="154">
        <f t="shared" si="285"/>
        <v>341.79</v>
      </c>
      <c r="N852" s="250">
        <f t="shared" si="279"/>
        <v>2050.7399999999998</v>
      </c>
      <c r="O852" s="515"/>
      <c r="P852" s="515"/>
      <c r="Q852" s="515"/>
      <c r="R852" s="515"/>
      <c r="S852" s="515"/>
      <c r="T852" s="515"/>
      <c r="U852" s="515"/>
      <c r="V852" s="515"/>
      <c r="W852" s="515"/>
      <c r="X852" s="515"/>
      <c r="Y852" s="120"/>
      <c r="Z852" s="102">
        <v>45497.303330364586</v>
      </c>
      <c r="AA852" s="43">
        <v>39860.81</v>
      </c>
      <c r="AC852" s="47" t="s">
        <v>378</v>
      </c>
      <c r="AD852" s="46">
        <v>19696.099999999999</v>
      </c>
    </row>
    <row r="853" spans="1:30" s="44" customFormat="1" ht="178.5" hidden="1" x14ac:dyDescent="0.2">
      <c r="A853" s="335">
        <f t="shared" si="287"/>
        <v>698</v>
      </c>
      <c r="B853" s="245" t="s">
        <v>349</v>
      </c>
      <c r="C853" s="386" t="s">
        <v>358</v>
      </c>
      <c r="D853" s="330" t="s">
        <v>355</v>
      </c>
      <c r="E853" s="254">
        <v>9.1650000000000013E-3</v>
      </c>
      <c r="F853" s="254">
        <v>1</v>
      </c>
      <c r="G853" s="303">
        <f t="shared" si="286"/>
        <v>9.1650000000000013E-3</v>
      </c>
      <c r="H853" s="359">
        <v>19696.099999999999</v>
      </c>
      <c r="I853" s="359">
        <f t="shared" si="282"/>
        <v>16413.416666666668</v>
      </c>
      <c r="J853" s="254">
        <v>13.046200000000001</v>
      </c>
      <c r="K853" s="299">
        <f t="shared" si="283"/>
        <v>214132.72</v>
      </c>
      <c r="L853" s="301">
        <f t="shared" si="284"/>
        <v>1962.53</v>
      </c>
      <c r="M853" s="154">
        <f t="shared" si="285"/>
        <v>392.51</v>
      </c>
      <c r="N853" s="250">
        <f t="shared" si="279"/>
        <v>2355.04</v>
      </c>
      <c r="O853" s="515"/>
      <c r="P853" s="515"/>
      <c r="Q853" s="515"/>
      <c r="R853" s="515"/>
      <c r="S853" s="515"/>
      <c r="T853" s="515"/>
      <c r="U853" s="515"/>
      <c r="V853" s="515"/>
      <c r="W853" s="515"/>
      <c r="X853" s="515"/>
      <c r="Y853" s="120"/>
      <c r="Z853" s="102">
        <v>421.39538081354999</v>
      </c>
      <c r="AA853" s="43">
        <v>369.19</v>
      </c>
      <c r="AC853" s="45">
        <v>3.1E-2</v>
      </c>
      <c r="AD853" s="46">
        <v>437.82</v>
      </c>
    </row>
    <row r="854" spans="1:30" s="44" customFormat="1" ht="178.5" hidden="1" x14ac:dyDescent="0.2">
      <c r="A854" s="335">
        <f t="shared" si="287"/>
        <v>699</v>
      </c>
      <c r="B854" s="245" t="s">
        <v>347</v>
      </c>
      <c r="C854" s="386" t="s">
        <v>359</v>
      </c>
      <c r="D854" s="303" t="s">
        <v>355</v>
      </c>
      <c r="E854" s="254">
        <v>3.5249999999999999E-3</v>
      </c>
      <c r="F854" s="254">
        <v>1</v>
      </c>
      <c r="G854" s="329">
        <f t="shared" si="286"/>
        <v>3.5249999999999999E-3</v>
      </c>
      <c r="H854" s="359">
        <v>437.82</v>
      </c>
      <c r="I854" s="359">
        <f t="shared" si="282"/>
        <v>364.85</v>
      </c>
      <c r="J854" s="254">
        <v>13.046200000000001</v>
      </c>
      <c r="K854" s="299">
        <f t="shared" si="283"/>
        <v>4759.91</v>
      </c>
      <c r="L854" s="301">
        <f t="shared" si="284"/>
        <v>16.78</v>
      </c>
      <c r="M854" s="154">
        <f t="shared" si="285"/>
        <v>3.36</v>
      </c>
      <c r="N854" s="250">
        <f t="shared" si="279"/>
        <v>20.14</v>
      </c>
      <c r="O854" s="515"/>
      <c r="P854" s="515"/>
      <c r="Q854" s="515"/>
      <c r="R854" s="515"/>
      <c r="S854" s="515"/>
      <c r="T854" s="515"/>
      <c r="U854" s="515"/>
      <c r="V854" s="515"/>
      <c r="W854" s="515"/>
      <c r="X854" s="515"/>
      <c r="Y854" s="120"/>
      <c r="Z854" s="102">
        <v>1984.8255045904998</v>
      </c>
      <c r="AA854" s="43">
        <v>1738.93</v>
      </c>
      <c r="AC854" s="45">
        <v>3.8</v>
      </c>
      <c r="AD854" s="46" t="s">
        <v>371</v>
      </c>
    </row>
    <row r="855" spans="1:30" s="44" customFormat="1" ht="165.75" hidden="1" x14ac:dyDescent="0.2">
      <c r="A855" s="335">
        <f t="shared" si="287"/>
        <v>700</v>
      </c>
      <c r="B855" s="245" t="s">
        <v>350</v>
      </c>
      <c r="C855" s="386" t="s">
        <v>362</v>
      </c>
      <c r="D855" s="303" t="s">
        <v>354</v>
      </c>
      <c r="E855" s="300">
        <v>0.45219999999999999</v>
      </c>
      <c r="F855" s="254">
        <v>1</v>
      </c>
      <c r="G855" s="303">
        <f t="shared" si="286"/>
        <v>0.45219999999999999</v>
      </c>
      <c r="H855" s="359">
        <v>279.35000000000002</v>
      </c>
      <c r="I855" s="359">
        <f t="shared" si="282"/>
        <v>232.79166666666669</v>
      </c>
      <c r="J855" s="254">
        <v>13.046200000000001</v>
      </c>
      <c r="K855" s="299">
        <f t="shared" si="283"/>
        <v>3037.05</v>
      </c>
      <c r="L855" s="301">
        <f t="shared" si="284"/>
        <v>1373.35</v>
      </c>
      <c r="M855" s="154">
        <f t="shared" si="285"/>
        <v>274.67</v>
      </c>
      <c r="N855" s="250">
        <f t="shared" si="279"/>
        <v>1648.02</v>
      </c>
      <c r="O855" s="515"/>
      <c r="P855" s="515"/>
      <c r="Q855" s="515"/>
      <c r="R855" s="515"/>
      <c r="S855" s="515"/>
      <c r="T855" s="515"/>
      <c r="U855" s="515"/>
      <c r="V855" s="515"/>
      <c r="W855" s="515"/>
      <c r="X855" s="515"/>
      <c r="Y855" s="120"/>
      <c r="Z855" s="102">
        <v>2279.3417788498505</v>
      </c>
      <c r="AA855" s="43">
        <v>1996.96</v>
      </c>
      <c r="AC855" s="47" t="s">
        <v>380</v>
      </c>
      <c r="AD855" s="46">
        <v>19696.099999999999</v>
      </c>
    </row>
    <row r="856" spans="1:30" s="44" customFormat="1" ht="178.5" hidden="1" x14ac:dyDescent="0.2">
      <c r="A856" s="335">
        <f t="shared" si="287"/>
        <v>701</v>
      </c>
      <c r="B856" s="245" t="s">
        <v>349</v>
      </c>
      <c r="C856" s="386" t="s">
        <v>356</v>
      </c>
      <c r="D856" s="330" t="s">
        <v>355</v>
      </c>
      <c r="E856" s="254">
        <v>2.2034999999999999E-2</v>
      </c>
      <c r="F856" s="254">
        <v>1</v>
      </c>
      <c r="G856" s="329">
        <f t="shared" si="286"/>
        <v>2.2034999999999999E-2</v>
      </c>
      <c r="H856" s="359">
        <v>19696.099999999999</v>
      </c>
      <c r="I856" s="359">
        <f t="shared" si="282"/>
        <v>16413.416666666668</v>
      </c>
      <c r="J856" s="254">
        <v>13.046200000000001</v>
      </c>
      <c r="K856" s="299">
        <f t="shared" si="283"/>
        <v>214132.72</v>
      </c>
      <c r="L856" s="301">
        <f t="shared" si="284"/>
        <v>4718.41</v>
      </c>
      <c r="M856" s="154">
        <f t="shared" si="285"/>
        <v>943.68</v>
      </c>
      <c r="N856" s="250">
        <f t="shared" si="279"/>
        <v>5662.09</v>
      </c>
      <c r="O856" s="515"/>
      <c r="P856" s="515"/>
      <c r="Q856" s="515"/>
      <c r="R856" s="515"/>
      <c r="S856" s="515"/>
      <c r="T856" s="515"/>
      <c r="U856" s="515"/>
      <c r="V856" s="515"/>
      <c r="W856" s="515"/>
      <c r="X856" s="515"/>
      <c r="Y856" s="120"/>
      <c r="Z856" s="102">
        <v>19.487290486950002</v>
      </c>
      <c r="AA856" s="43">
        <v>17.07</v>
      </c>
      <c r="AC856" s="45">
        <v>2.4E-2</v>
      </c>
      <c r="AD856" s="46">
        <v>437.82</v>
      </c>
    </row>
    <row r="857" spans="1:30" s="44" customFormat="1" ht="178.5" hidden="1" x14ac:dyDescent="0.2">
      <c r="A857" s="350">
        <f>A856+1</f>
        <v>702</v>
      </c>
      <c r="B857" s="245" t="s">
        <v>347</v>
      </c>
      <c r="C857" s="386" t="s">
        <v>359</v>
      </c>
      <c r="D857" s="303" t="s">
        <v>355</v>
      </c>
      <c r="E857" s="254">
        <v>8.4749999999999999E-3</v>
      </c>
      <c r="F857" s="254">
        <v>1</v>
      </c>
      <c r="G857" s="329">
        <f t="shared" si="286"/>
        <v>8.4749999999999999E-3</v>
      </c>
      <c r="H857" s="359">
        <v>437.82</v>
      </c>
      <c r="I857" s="359">
        <f t="shared" si="282"/>
        <v>364.85</v>
      </c>
      <c r="J857" s="254">
        <v>13.046200000000001</v>
      </c>
      <c r="K857" s="299">
        <f t="shared" si="283"/>
        <v>4759.91</v>
      </c>
      <c r="L857" s="301">
        <f t="shared" si="284"/>
        <v>40.340000000000003</v>
      </c>
      <c r="M857" s="154">
        <f t="shared" si="285"/>
        <v>8.07</v>
      </c>
      <c r="N857" s="250">
        <f t="shared" si="279"/>
        <v>48.41</v>
      </c>
      <c r="O857" s="515"/>
      <c r="P857" s="515"/>
      <c r="Q857" s="515"/>
      <c r="R857" s="515"/>
      <c r="S857" s="515"/>
      <c r="T857" s="515"/>
      <c r="U857" s="515"/>
      <c r="V857" s="515"/>
      <c r="W857" s="515"/>
      <c r="X857" s="515"/>
      <c r="Y857" s="120"/>
      <c r="Z857" s="102">
        <v>1595.0561456829998</v>
      </c>
      <c r="AA857" s="43">
        <v>1397.45</v>
      </c>
      <c r="AC857" s="45">
        <v>1.6</v>
      </c>
      <c r="AD857" s="46" t="s">
        <v>371</v>
      </c>
    </row>
    <row r="858" spans="1:30" s="44" customFormat="1" ht="68.25" hidden="1" customHeight="1" x14ac:dyDescent="0.2">
      <c r="A858" s="350">
        <f>A857+1</f>
        <v>703</v>
      </c>
      <c r="B858" s="245" t="s">
        <v>351</v>
      </c>
      <c r="C858" s="386" t="s">
        <v>360</v>
      </c>
      <c r="D858" s="303" t="s">
        <v>354</v>
      </c>
      <c r="E858" s="254">
        <v>0.43120000000000003</v>
      </c>
      <c r="F858" s="254">
        <v>1</v>
      </c>
      <c r="G858" s="303">
        <f t="shared" si="286"/>
        <v>0.43120000000000003</v>
      </c>
      <c r="H858" s="359">
        <v>279.35000000000002</v>
      </c>
      <c r="I858" s="359">
        <f t="shared" si="282"/>
        <v>232.79166666666669</v>
      </c>
      <c r="J858" s="254">
        <v>13.046200000000001</v>
      </c>
      <c r="K858" s="299">
        <f t="shared" si="283"/>
        <v>3037.05</v>
      </c>
      <c r="L858" s="301">
        <f t="shared" si="284"/>
        <v>1309.58</v>
      </c>
      <c r="M858" s="154">
        <f t="shared" si="285"/>
        <v>261.92</v>
      </c>
      <c r="N858" s="250">
        <f t="shared" ref="N858:N886" si="288">ROUND(L858+M858,2)</f>
        <v>1571.5</v>
      </c>
      <c r="O858" s="515"/>
      <c r="P858" s="515"/>
      <c r="Q858" s="515"/>
      <c r="R858" s="515"/>
      <c r="S858" s="515"/>
      <c r="T858" s="515"/>
      <c r="U858" s="515"/>
      <c r="V858" s="515"/>
      <c r="W858" s="515"/>
      <c r="X858" s="515"/>
      <c r="Y858" s="120"/>
      <c r="Z858" s="102">
        <v>5480.1195959581501</v>
      </c>
      <c r="AA858" s="43">
        <v>4801.21</v>
      </c>
      <c r="AC858" s="47" t="s">
        <v>381</v>
      </c>
      <c r="AD858" s="46">
        <v>19696.099999999999</v>
      </c>
    </row>
    <row r="859" spans="1:30" s="44" customFormat="1" ht="50.25" hidden="1" customHeight="1" x14ac:dyDescent="0.2">
      <c r="A859" s="350">
        <f>A858+1</f>
        <v>704</v>
      </c>
      <c r="B859" s="245" t="s">
        <v>349</v>
      </c>
      <c r="C859" s="386" t="s">
        <v>356</v>
      </c>
      <c r="D859" s="330" t="s">
        <v>355</v>
      </c>
      <c r="E859" s="254">
        <v>1.404E-2</v>
      </c>
      <c r="F859" s="254">
        <v>1</v>
      </c>
      <c r="G859" s="303">
        <f t="shared" si="286"/>
        <v>1.404E-2</v>
      </c>
      <c r="H859" s="359">
        <v>19696.099999999999</v>
      </c>
      <c r="I859" s="359">
        <f t="shared" si="282"/>
        <v>16413.416666666668</v>
      </c>
      <c r="J859" s="254">
        <v>13.046200000000001</v>
      </c>
      <c r="K859" s="299">
        <f t="shared" si="283"/>
        <v>214132.72</v>
      </c>
      <c r="L859" s="301">
        <f t="shared" si="284"/>
        <v>3006.42</v>
      </c>
      <c r="M859" s="154">
        <f t="shared" si="285"/>
        <v>601.28</v>
      </c>
      <c r="N859" s="250">
        <f t="shared" si="288"/>
        <v>3607.7</v>
      </c>
      <c r="O859" s="515"/>
      <c r="P859" s="515"/>
      <c r="Q859" s="515"/>
      <c r="R859" s="515"/>
      <c r="S859" s="515"/>
      <c r="T859" s="515"/>
      <c r="U859" s="515"/>
      <c r="V859" s="515"/>
      <c r="W859" s="515"/>
      <c r="X859" s="515"/>
      <c r="Y859" s="120"/>
      <c r="Z859" s="102">
        <v>46.85242180905</v>
      </c>
      <c r="AA859" s="43">
        <v>41.05</v>
      </c>
      <c r="AC859" s="45">
        <v>2.8000000000000001E-2</v>
      </c>
      <c r="AD859" s="46">
        <v>437.82</v>
      </c>
    </row>
    <row r="860" spans="1:30" s="44" customFormat="1" ht="46.5" hidden="1" customHeight="1" x14ac:dyDescent="0.2">
      <c r="A860" s="350">
        <f>A859+1</f>
        <v>705</v>
      </c>
      <c r="B860" s="245" t="s">
        <v>347</v>
      </c>
      <c r="C860" s="386" t="s">
        <v>357</v>
      </c>
      <c r="D860" s="303" t="s">
        <v>355</v>
      </c>
      <c r="E860" s="254">
        <v>5.4000000000000003E-3</v>
      </c>
      <c r="F860" s="254">
        <v>1</v>
      </c>
      <c r="G860" s="303">
        <f t="shared" si="286"/>
        <v>5.4000000000000003E-3</v>
      </c>
      <c r="H860" s="359">
        <v>437.82</v>
      </c>
      <c r="I860" s="359">
        <f t="shared" si="282"/>
        <v>364.85</v>
      </c>
      <c r="J860" s="254">
        <v>13.046200000000001</v>
      </c>
      <c r="K860" s="299">
        <f t="shared" si="283"/>
        <v>4759.91</v>
      </c>
      <c r="L860" s="301">
        <f t="shared" si="284"/>
        <v>25.7</v>
      </c>
      <c r="M860" s="154">
        <f t="shared" si="285"/>
        <v>5.14</v>
      </c>
      <c r="N860" s="250">
        <f t="shared" si="288"/>
        <v>30.84</v>
      </c>
      <c r="O860" s="515"/>
      <c r="P860" s="515"/>
      <c r="Q860" s="515"/>
      <c r="R860" s="515"/>
      <c r="S860" s="515"/>
      <c r="T860" s="515"/>
      <c r="U860" s="515"/>
      <c r="V860" s="515"/>
      <c r="W860" s="515"/>
      <c r="X860" s="515"/>
      <c r="Y860" s="120"/>
      <c r="Z860" s="102">
        <v>1520.9823308680002</v>
      </c>
      <c r="AA860" s="43">
        <v>1332.55</v>
      </c>
      <c r="AC860" s="45">
        <v>0.4</v>
      </c>
      <c r="AD860" s="46" t="s">
        <v>371</v>
      </c>
    </row>
    <row r="861" spans="1:30" s="44" customFormat="1" ht="54" hidden="1" customHeight="1" x14ac:dyDescent="0.2">
      <c r="A861" s="350">
        <f t="shared" ref="A861:A866" si="289">A860+1</f>
        <v>706</v>
      </c>
      <c r="B861" s="245" t="s">
        <v>363</v>
      </c>
      <c r="C861" s="386" t="s">
        <v>400</v>
      </c>
      <c r="D861" s="303" t="s">
        <v>354</v>
      </c>
      <c r="E861" s="254">
        <v>1.26E-2</v>
      </c>
      <c r="F861" s="254">
        <v>1</v>
      </c>
      <c r="G861" s="303">
        <f t="shared" si="286"/>
        <v>1.26E-2</v>
      </c>
      <c r="H861" s="359">
        <v>279.35000000000002</v>
      </c>
      <c r="I861" s="359">
        <f t="shared" si="282"/>
        <v>232.79166666666669</v>
      </c>
      <c r="J861" s="254">
        <v>13.046200000000001</v>
      </c>
      <c r="K861" s="299">
        <f t="shared" si="283"/>
        <v>3037.05</v>
      </c>
      <c r="L861" s="301">
        <f t="shared" si="284"/>
        <v>38.270000000000003</v>
      </c>
      <c r="M861" s="154">
        <f t="shared" si="285"/>
        <v>7.65</v>
      </c>
      <c r="N861" s="250">
        <f t="shared" si="288"/>
        <v>45.92</v>
      </c>
      <c r="O861" s="515"/>
      <c r="P861" s="515"/>
      <c r="Q861" s="515"/>
      <c r="R861" s="515"/>
      <c r="S861" s="515"/>
      <c r="T861" s="515"/>
      <c r="U861" s="515"/>
      <c r="V861" s="515"/>
      <c r="W861" s="515"/>
      <c r="X861" s="515"/>
      <c r="Y861" s="120"/>
      <c r="Z861" s="102">
        <v>3491.7576186635997</v>
      </c>
      <c r="AA861" s="43">
        <v>3059.18</v>
      </c>
      <c r="AC861" s="47" t="s">
        <v>382</v>
      </c>
      <c r="AD861" s="46">
        <v>19696.099999999999</v>
      </c>
    </row>
    <row r="862" spans="1:30" s="44" customFormat="1" ht="26.25" hidden="1" customHeight="1" x14ac:dyDescent="0.2">
      <c r="A862" s="350">
        <f t="shared" si="289"/>
        <v>707</v>
      </c>
      <c r="B862" s="245" t="s">
        <v>349</v>
      </c>
      <c r="C862" s="386" t="s">
        <v>356</v>
      </c>
      <c r="D862" s="330" t="s">
        <v>355</v>
      </c>
      <c r="E862" s="254">
        <v>3.2499999999999999E-3</v>
      </c>
      <c r="F862" s="254">
        <v>1</v>
      </c>
      <c r="G862" s="329">
        <f t="shared" si="286"/>
        <v>3.2499999999999999E-3</v>
      </c>
      <c r="H862" s="359">
        <v>19696.099999999999</v>
      </c>
      <c r="I862" s="359">
        <f t="shared" si="282"/>
        <v>16413.416666666668</v>
      </c>
      <c r="J862" s="254">
        <v>13.046200000000001</v>
      </c>
      <c r="K862" s="299">
        <f t="shared" si="283"/>
        <v>214132.72</v>
      </c>
      <c r="L862" s="301">
        <f t="shared" si="284"/>
        <v>695.93</v>
      </c>
      <c r="M862" s="154">
        <f t="shared" si="285"/>
        <v>139.19</v>
      </c>
      <c r="N862" s="250">
        <f t="shared" si="288"/>
        <v>835.12</v>
      </c>
      <c r="O862" s="515"/>
      <c r="P862" s="515"/>
      <c r="Q862" s="515"/>
      <c r="R862" s="515"/>
      <c r="S862" s="515"/>
      <c r="T862" s="515"/>
      <c r="U862" s="515"/>
      <c r="V862" s="515"/>
      <c r="W862" s="515"/>
      <c r="X862" s="515"/>
      <c r="Y862" s="120"/>
      <c r="Z862" s="102">
        <v>29.852870533200004</v>
      </c>
      <c r="AA862" s="43">
        <v>26.15</v>
      </c>
      <c r="AC862" s="45">
        <v>5.0000000000000001E-3</v>
      </c>
      <c r="AD862" s="46">
        <v>437.82</v>
      </c>
    </row>
    <row r="863" spans="1:30" s="44" customFormat="1" ht="24" hidden="1" customHeight="1" x14ac:dyDescent="0.2">
      <c r="A863" s="350">
        <f t="shared" si="289"/>
        <v>708</v>
      </c>
      <c r="B863" s="245" t="s">
        <v>347</v>
      </c>
      <c r="C863" s="386" t="s">
        <v>357</v>
      </c>
      <c r="D863" s="303" t="s">
        <v>355</v>
      </c>
      <c r="E863" s="254">
        <v>1.25E-3</v>
      </c>
      <c r="F863" s="254">
        <v>1</v>
      </c>
      <c r="G863" s="329">
        <f t="shared" si="286"/>
        <v>1.25E-3</v>
      </c>
      <c r="H863" s="359">
        <v>437.82</v>
      </c>
      <c r="I863" s="359">
        <f t="shared" si="282"/>
        <v>364.85</v>
      </c>
      <c r="J863" s="254">
        <v>13.046200000000001</v>
      </c>
      <c r="K863" s="299">
        <f t="shared" si="283"/>
        <v>4759.91</v>
      </c>
      <c r="L863" s="301">
        <f t="shared" si="284"/>
        <v>5.95</v>
      </c>
      <c r="M863" s="154">
        <f t="shared" si="285"/>
        <v>1.19</v>
      </c>
      <c r="N863" s="250">
        <f t="shared" si="288"/>
        <v>7.14</v>
      </c>
      <c r="O863" s="515"/>
      <c r="P863" s="515"/>
      <c r="Q863" s="515"/>
      <c r="R863" s="515"/>
      <c r="S863" s="515"/>
      <c r="T863" s="515"/>
      <c r="U863" s="515"/>
      <c r="V863" s="515"/>
      <c r="W863" s="515"/>
      <c r="X863" s="515"/>
      <c r="Y863" s="120"/>
      <c r="Z863" s="102">
        <v>44.444288889000006</v>
      </c>
      <c r="AA863" s="71">
        <v>38.94</v>
      </c>
      <c r="AC863" s="45"/>
      <c r="AD863" s="46"/>
    </row>
    <row r="864" spans="1:30" s="44" customFormat="1" ht="36" hidden="1" customHeight="1" x14ac:dyDescent="0.2">
      <c r="A864" s="350">
        <f t="shared" si="289"/>
        <v>709</v>
      </c>
      <c r="B864" s="245" t="s">
        <v>363</v>
      </c>
      <c r="C864" s="386" t="s">
        <v>364</v>
      </c>
      <c r="D864" s="303" t="s">
        <v>354</v>
      </c>
      <c r="E864" s="254">
        <v>5.7999999999999996E-3</v>
      </c>
      <c r="F864" s="254">
        <v>1</v>
      </c>
      <c r="G864" s="303">
        <f t="shared" si="286"/>
        <v>5.7999999999999996E-3</v>
      </c>
      <c r="H864" s="359">
        <v>476.42</v>
      </c>
      <c r="I864" s="359">
        <f t="shared" si="282"/>
        <v>397.01666666666671</v>
      </c>
      <c r="J864" s="254">
        <v>13.046200000000001</v>
      </c>
      <c r="K864" s="299">
        <f t="shared" si="283"/>
        <v>5179.5600000000004</v>
      </c>
      <c r="L864" s="301">
        <f t="shared" si="284"/>
        <v>30.04</v>
      </c>
      <c r="M864" s="154">
        <f t="shared" si="285"/>
        <v>6.01</v>
      </c>
      <c r="N864" s="250">
        <f t="shared" si="288"/>
        <v>36.049999999999997</v>
      </c>
      <c r="O864" s="515"/>
      <c r="P864" s="515"/>
      <c r="Q864" s="515"/>
      <c r="R864" s="515"/>
      <c r="S864" s="515"/>
      <c r="T864" s="515"/>
      <c r="U864" s="515"/>
      <c r="V864" s="515"/>
      <c r="W864" s="515"/>
      <c r="X864" s="515"/>
      <c r="Y864" s="120"/>
      <c r="Z864" s="102">
        <v>808.27722654249999</v>
      </c>
      <c r="AA864" s="43">
        <v>708.14</v>
      </c>
      <c r="AC864" s="45"/>
      <c r="AD864" s="46"/>
    </row>
    <row r="865" spans="1:30" s="44" customFormat="1" ht="35.25" hidden="1" customHeight="1" x14ac:dyDescent="0.2">
      <c r="A865" s="350">
        <f t="shared" si="289"/>
        <v>710</v>
      </c>
      <c r="B865" s="245" t="s">
        <v>349</v>
      </c>
      <c r="C865" s="386" t="s">
        <v>356</v>
      </c>
      <c r="D865" s="330" t="s">
        <v>355</v>
      </c>
      <c r="E865" s="254">
        <v>1.2090000000000002E-2</v>
      </c>
      <c r="F865" s="254">
        <v>1</v>
      </c>
      <c r="G865" s="329">
        <f t="shared" si="286"/>
        <v>1.2090000000000002E-2</v>
      </c>
      <c r="H865" s="359">
        <v>19696.099999999999</v>
      </c>
      <c r="I865" s="359">
        <f t="shared" si="282"/>
        <v>16413.416666666668</v>
      </c>
      <c r="J865" s="254">
        <v>13.046200000000001</v>
      </c>
      <c r="K865" s="299">
        <f t="shared" si="283"/>
        <v>214132.72</v>
      </c>
      <c r="L865" s="301">
        <f t="shared" si="284"/>
        <v>2588.86</v>
      </c>
      <c r="M865" s="154">
        <f t="shared" si="285"/>
        <v>517.77</v>
      </c>
      <c r="N865" s="250">
        <f t="shared" si="288"/>
        <v>3106.63</v>
      </c>
      <c r="O865" s="515"/>
      <c r="P865" s="515"/>
      <c r="Q865" s="515"/>
      <c r="R865" s="515"/>
      <c r="S865" s="515"/>
      <c r="T865" s="515"/>
      <c r="U865" s="515"/>
      <c r="V865" s="515"/>
      <c r="W865" s="515"/>
      <c r="X865" s="515"/>
      <c r="Y865" s="120"/>
      <c r="Z865" s="102">
        <v>6.9103866974999999</v>
      </c>
      <c r="AA865" s="43">
        <v>6.05</v>
      </c>
      <c r="AC865" s="45"/>
      <c r="AD865" s="46"/>
    </row>
    <row r="866" spans="1:30" s="44" customFormat="1" ht="62.25" hidden="1" customHeight="1" x14ac:dyDescent="0.2">
      <c r="A866" s="350">
        <f t="shared" si="289"/>
        <v>711</v>
      </c>
      <c r="B866" s="245" t="s">
        <v>347</v>
      </c>
      <c r="C866" s="386" t="s">
        <v>357</v>
      </c>
      <c r="D866" s="303" t="s">
        <v>355</v>
      </c>
      <c r="E866" s="254">
        <v>4.6500000000000005E-3</v>
      </c>
      <c r="F866" s="254">
        <v>1</v>
      </c>
      <c r="G866" s="329">
        <f t="shared" si="286"/>
        <v>4.6500000000000005E-3</v>
      </c>
      <c r="H866" s="359">
        <v>437.82</v>
      </c>
      <c r="I866" s="359">
        <f t="shared" si="282"/>
        <v>364.85</v>
      </c>
      <c r="J866" s="254">
        <v>13.046200000000001</v>
      </c>
      <c r="K866" s="299">
        <f t="shared" si="283"/>
        <v>4759.91</v>
      </c>
      <c r="L866" s="301">
        <f t="shared" si="284"/>
        <v>22.13</v>
      </c>
      <c r="M866" s="154">
        <f t="shared" si="285"/>
        <v>4.43</v>
      </c>
      <c r="N866" s="250">
        <f t="shared" si="288"/>
        <v>26.56</v>
      </c>
      <c r="O866" s="515"/>
      <c r="P866" s="515"/>
      <c r="Q866" s="515"/>
      <c r="R866" s="515"/>
      <c r="S866" s="515"/>
      <c r="T866" s="515"/>
      <c r="U866" s="515"/>
      <c r="V866" s="515"/>
      <c r="W866" s="515"/>
      <c r="X866" s="515"/>
      <c r="Y866" s="120"/>
      <c r="Z866" s="102">
        <v>34.891104648400002</v>
      </c>
      <c r="AA866" s="43">
        <v>30.57</v>
      </c>
      <c r="AC866" s="45">
        <v>2.8000000000000001E-2</v>
      </c>
      <c r="AD866" s="46" t="s">
        <v>372</v>
      </c>
    </row>
    <row r="867" spans="1:30" s="44" customFormat="1" ht="51" hidden="1" x14ac:dyDescent="0.2">
      <c r="A867" s="294"/>
      <c r="B867" s="342"/>
      <c r="C867" s="70" t="s">
        <v>43</v>
      </c>
      <c r="D867" s="229"/>
      <c r="E867" s="229"/>
      <c r="F867" s="229"/>
      <c r="G867" s="229"/>
      <c r="H867" s="229"/>
      <c r="I867" s="359"/>
      <c r="J867" s="254"/>
      <c r="K867" s="299"/>
      <c r="L867" s="301"/>
      <c r="M867" s="154"/>
      <c r="N867" s="250"/>
      <c r="O867" s="515"/>
      <c r="P867" s="515"/>
      <c r="Q867" s="515"/>
      <c r="R867" s="515"/>
      <c r="S867" s="515"/>
      <c r="T867" s="515"/>
      <c r="U867" s="515"/>
      <c r="V867" s="515"/>
      <c r="W867" s="515"/>
      <c r="X867" s="515"/>
      <c r="Y867" s="120"/>
      <c r="Z867" s="102">
        <v>3006.7912827381006</v>
      </c>
      <c r="AA867" s="43">
        <v>2634.29</v>
      </c>
      <c r="AC867" s="47" t="s">
        <v>386</v>
      </c>
      <c r="AD867" s="46">
        <v>19696.099999999999</v>
      </c>
    </row>
    <row r="868" spans="1:30" s="44" customFormat="1" ht="165.75" hidden="1" x14ac:dyDescent="0.2">
      <c r="A868" s="350">
        <f>A866+1</f>
        <v>712</v>
      </c>
      <c r="B868" s="328" t="s">
        <v>353</v>
      </c>
      <c r="C868" s="386" t="s">
        <v>361</v>
      </c>
      <c r="D868" s="303" t="s">
        <v>354</v>
      </c>
      <c r="E868" s="303">
        <v>0.115</v>
      </c>
      <c r="F868" s="254">
        <v>1</v>
      </c>
      <c r="G868" s="254">
        <f t="shared" ref="G868:G879" si="290">F868*E868</f>
        <v>0.115</v>
      </c>
      <c r="H868" s="254">
        <v>279.35000000000002</v>
      </c>
      <c r="I868" s="359">
        <f t="shared" si="282"/>
        <v>232.79166666666669</v>
      </c>
      <c r="J868" s="254">
        <v>13.046200000000001</v>
      </c>
      <c r="K868" s="299">
        <f t="shared" si="283"/>
        <v>3037.05</v>
      </c>
      <c r="L868" s="301">
        <f t="shared" si="284"/>
        <v>349.26</v>
      </c>
      <c r="M868" s="154">
        <f t="shared" si="285"/>
        <v>69.849999999999994</v>
      </c>
      <c r="N868" s="250">
        <f t="shared" si="288"/>
        <v>419.11</v>
      </c>
      <c r="O868" s="516"/>
      <c r="P868" s="516"/>
      <c r="Q868" s="516"/>
      <c r="R868" s="516"/>
      <c r="S868" s="516"/>
      <c r="T868" s="516"/>
      <c r="U868" s="516"/>
      <c r="V868" s="516"/>
      <c r="W868" s="516"/>
      <c r="X868" s="516"/>
      <c r="Y868" s="121"/>
      <c r="Z868" s="102">
        <v>25.706638514700003</v>
      </c>
      <c r="AA868" s="43">
        <v>22.52</v>
      </c>
      <c r="AC868" s="45">
        <v>2.1999999999999999E-2</v>
      </c>
      <c r="AD868" s="46">
        <v>437.82</v>
      </c>
    </row>
    <row r="869" spans="1:30" s="20" customFormat="1" ht="178.5" hidden="1" x14ac:dyDescent="0.2">
      <c r="A869" s="350">
        <f>A868+1</f>
        <v>713</v>
      </c>
      <c r="B869" s="328" t="s">
        <v>349</v>
      </c>
      <c r="C869" s="386" t="s">
        <v>356</v>
      </c>
      <c r="D869" s="330" t="s">
        <v>355</v>
      </c>
      <c r="E869" s="330">
        <v>7.4750000000000007E-3</v>
      </c>
      <c r="F869" s="254">
        <v>1</v>
      </c>
      <c r="G869" s="300">
        <f t="shared" si="290"/>
        <v>7.4750000000000007E-3</v>
      </c>
      <c r="H869" s="254">
        <v>19696.099999999999</v>
      </c>
      <c r="I869" s="359">
        <f t="shared" si="282"/>
        <v>16413.416666666668</v>
      </c>
      <c r="J869" s="254">
        <v>13.046200000000001</v>
      </c>
      <c r="K869" s="299">
        <f t="shared" si="283"/>
        <v>214132.72</v>
      </c>
      <c r="L869" s="301">
        <f t="shared" si="284"/>
        <v>1600.64</v>
      </c>
      <c r="M869" s="154">
        <f t="shared" si="285"/>
        <v>320.13</v>
      </c>
      <c r="N869" s="250">
        <f t="shared" si="288"/>
        <v>1920.77</v>
      </c>
      <c r="O869" s="516"/>
      <c r="P869" s="516"/>
      <c r="Q869" s="516"/>
      <c r="R869" s="516"/>
      <c r="S869" s="516"/>
      <c r="T869" s="516"/>
      <c r="U869" s="516"/>
      <c r="V869" s="516"/>
      <c r="W869" s="516"/>
      <c r="X869" s="516"/>
      <c r="Y869" s="121"/>
      <c r="Z869" s="80">
        <v>0</v>
      </c>
      <c r="AA869" s="27"/>
      <c r="AB869" s="22" t="s">
        <v>369</v>
      </c>
      <c r="AC869" s="22"/>
      <c r="AD869" s="22"/>
    </row>
    <row r="870" spans="1:30" s="20" customFormat="1" ht="27.75" hidden="1" customHeight="1" x14ac:dyDescent="0.2">
      <c r="A870" s="350">
        <f>A869+1</f>
        <v>714</v>
      </c>
      <c r="B870" s="328" t="s">
        <v>347</v>
      </c>
      <c r="C870" s="386" t="s">
        <v>357</v>
      </c>
      <c r="D870" s="303" t="s">
        <v>355</v>
      </c>
      <c r="E870" s="303">
        <v>2.875E-3</v>
      </c>
      <c r="F870" s="254">
        <v>1</v>
      </c>
      <c r="G870" s="300">
        <f t="shared" si="290"/>
        <v>2.875E-3</v>
      </c>
      <c r="H870" s="254">
        <v>437.82</v>
      </c>
      <c r="I870" s="359">
        <f t="shared" si="282"/>
        <v>364.85</v>
      </c>
      <c r="J870" s="254">
        <v>13.046200000000001</v>
      </c>
      <c r="K870" s="299">
        <f t="shared" si="283"/>
        <v>4759.91</v>
      </c>
      <c r="L870" s="301">
        <f t="shared" si="284"/>
        <v>13.68</v>
      </c>
      <c r="M870" s="154">
        <f t="shared" si="285"/>
        <v>2.74</v>
      </c>
      <c r="N870" s="250">
        <f t="shared" si="288"/>
        <v>16.420000000000002</v>
      </c>
      <c r="O870" s="516"/>
      <c r="P870" s="516"/>
      <c r="Q870" s="516"/>
      <c r="R870" s="516"/>
      <c r="S870" s="516"/>
      <c r="T870" s="516"/>
      <c r="U870" s="516"/>
      <c r="V870" s="516"/>
      <c r="W870" s="516"/>
      <c r="X870" s="516"/>
      <c r="Y870" s="121"/>
      <c r="Z870" s="111">
        <v>405.64231922500005</v>
      </c>
      <c r="AA870" s="42">
        <v>710.78</v>
      </c>
      <c r="AB870" s="50">
        <f>SUM(N845:N866)</f>
        <v>89687.53</v>
      </c>
      <c r="AC870" s="51"/>
      <c r="AD870" s="22"/>
    </row>
    <row r="871" spans="1:30" s="20" customFormat="1" ht="165.75" hidden="1" x14ac:dyDescent="0.2">
      <c r="A871" s="350">
        <f t="shared" ref="A871:A879" si="291">A870+1</f>
        <v>715</v>
      </c>
      <c r="B871" s="328" t="s">
        <v>350</v>
      </c>
      <c r="C871" s="386" t="s">
        <v>362</v>
      </c>
      <c r="D871" s="303" t="s">
        <v>354</v>
      </c>
      <c r="E871" s="303">
        <v>0.4</v>
      </c>
      <c r="F871" s="254">
        <v>1</v>
      </c>
      <c r="G871" s="254">
        <f t="shared" si="290"/>
        <v>0.4</v>
      </c>
      <c r="H871" s="254">
        <v>279.35000000000002</v>
      </c>
      <c r="I871" s="359">
        <f t="shared" si="282"/>
        <v>232.79166666666669</v>
      </c>
      <c r="J871" s="254">
        <v>13.046200000000001</v>
      </c>
      <c r="K871" s="299">
        <f t="shared" si="283"/>
        <v>3037.05</v>
      </c>
      <c r="L871" s="301">
        <f t="shared" si="284"/>
        <v>1214.82</v>
      </c>
      <c r="M871" s="154">
        <f t="shared" si="285"/>
        <v>242.96</v>
      </c>
      <c r="N871" s="250">
        <f t="shared" si="288"/>
        <v>1457.78</v>
      </c>
      <c r="O871" s="516"/>
      <c r="P871" s="516"/>
      <c r="Q871" s="516"/>
      <c r="R871" s="516"/>
      <c r="S871" s="516"/>
      <c r="T871" s="516"/>
      <c r="U871" s="516"/>
      <c r="V871" s="516"/>
      <c r="W871" s="516"/>
      <c r="X871" s="516"/>
      <c r="Y871" s="121"/>
      <c r="Z871" s="111">
        <v>1859.03762104775</v>
      </c>
      <c r="AA871" s="42">
        <v>3257.46</v>
      </c>
      <c r="AB871" s="52">
        <v>6.5000000000000002E-2</v>
      </c>
      <c r="AC871" s="52"/>
      <c r="AD871" s="22"/>
    </row>
    <row r="872" spans="1:30" s="20" customFormat="1" ht="178.5" hidden="1" x14ac:dyDescent="0.2">
      <c r="A872" s="350">
        <f t="shared" si="291"/>
        <v>716</v>
      </c>
      <c r="B872" s="328" t="s">
        <v>349</v>
      </c>
      <c r="C872" s="386" t="s">
        <v>356</v>
      </c>
      <c r="D872" s="330" t="s">
        <v>355</v>
      </c>
      <c r="E872" s="330">
        <v>1.9500000000000003E-2</v>
      </c>
      <c r="F872" s="254">
        <v>1</v>
      </c>
      <c r="G872" s="254">
        <f t="shared" si="290"/>
        <v>1.9500000000000003E-2</v>
      </c>
      <c r="H872" s="254">
        <v>19696.099999999999</v>
      </c>
      <c r="I872" s="359">
        <f t="shared" si="282"/>
        <v>16413.416666666668</v>
      </c>
      <c r="J872" s="254">
        <v>13.046200000000001</v>
      </c>
      <c r="K872" s="299">
        <f t="shared" si="283"/>
        <v>214132.72</v>
      </c>
      <c r="L872" s="301">
        <f t="shared" si="284"/>
        <v>4175.59</v>
      </c>
      <c r="M872" s="154">
        <f t="shared" si="285"/>
        <v>835.12</v>
      </c>
      <c r="N872" s="250">
        <f t="shared" si="288"/>
        <v>5010.71</v>
      </c>
      <c r="O872" s="516"/>
      <c r="P872" s="516"/>
      <c r="Q872" s="516"/>
      <c r="R872" s="516"/>
      <c r="S872" s="516"/>
      <c r="T872" s="516"/>
      <c r="U872" s="516"/>
      <c r="V872" s="516"/>
      <c r="W872" s="516"/>
      <c r="X872" s="516"/>
      <c r="Y872" s="121"/>
      <c r="Z872" s="111">
        <v>15.893889404249999</v>
      </c>
      <c r="AA872" s="42">
        <v>27.85</v>
      </c>
      <c r="AB872" s="36">
        <v>2.5000000000000001E-4</v>
      </c>
      <c r="AC872" s="52">
        <v>100</v>
      </c>
      <c r="AD872" s="22"/>
    </row>
    <row r="873" spans="1:30" s="20" customFormat="1" ht="9.75" hidden="1" customHeight="1" x14ac:dyDescent="0.2">
      <c r="A873" s="350">
        <f t="shared" si="291"/>
        <v>717</v>
      </c>
      <c r="B873" s="328" t="s">
        <v>347</v>
      </c>
      <c r="C873" s="386" t="s">
        <v>359</v>
      </c>
      <c r="D873" s="303" t="s">
        <v>355</v>
      </c>
      <c r="E873" s="303">
        <v>7.5000000000000006E-3</v>
      </c>
      <c r="F873" s="254">
        <v>1</v>
      </c>
      <c r="G873" s="254">
        <f t="shared" si="290"/>
        <v>7.5000000000000006E-3</v>
      </c>
      <c r="H873" s="254">
        <v>437.82</v>
      </c>
      <c r="I873" s="359">
        <f t="shared" si="282"/>
        <v>364.85</v>
      </c>
      <c r="J873" s="254">
        <v>13.046200000000001</v>
      </c>
      <c r="K873" s="299">
        <f t="shared" si="283"/>
        <v>4759.91</v>
      </c>
      <c r="L873" s="301">
        <f t="shared" si="284"/>
        <v>35.700000000000003</v>
      </c>
      <c r="M873" s="154">
        <f t="shared" si="285"/>
        <v>7.14</v>
      </c>
      <c r="N873" s="250">
        <f t="shared" si="288"/>
        <v>42.84</v>
      </c>
      <c r="O873" s="516"/>
      <c r="P873" s="516"/>
      <c r="Q873" s="516"/>
      <c r="R873" s="516"/>
      <c r="S873" s="516"/>
      <c r="T873" s="516"/>
      <c r="U873" s="516"/>
      <c r="V873" s="516"/>
      <c r="W873" s="516"/>
      <c r="X873" s="516"/>
      <c r="Y873" s="121"/>
      <c r="Z873" s="111">
        <v>1410.9298060000001</v>
      </c>
      <c r="AA873" s="42">
        <v>2472.27</v>
      </c>
      <c r="AB873" s="52"/>
      <c r="AC873" s="52"/>
      <c r="AD873" s="22"/>
    </row>
    <row r="874" spans="1:30" s="20" customFormat="1" ht="35.25" hidden="1" customHeight="1" x14ac:dyDescent="0.2">
      <c r="A874" s="350">
        <f t="shared" si="291"/>
        <v>718</v>
      </c>
      <c r="B874" s="328" t="s">
        <v>363</v>
      </c>
      <c r="C874" s="386" t="s">
        <v>364</v>
      </c>
      <c r="D874" s="303" t="s">
        <v>354</v>
      </c>
      <c r="E874" s="303">
        <v>2.2499999999999999E-2</v>
      </c>
      <c r="F874" s="254">
        <v>1</v>
      </c>
      <c r="G874" s="254">
        <f t="shared" si="290"/>
        <v>2.2499999999999999E-2</v>
      </c>
      <c r="H874" s="254">
        <v>476.42</v>
      </c>
      <c r="I874" s="359">
        <f t="shared" si="282"/>
        <v>397.01666666666671</v>
      </c>
      <c r="J874" s="254">
        <v>13.046200000000001</v>
      </c>
      <c r="K874" s="299">
        <f t="shared" si="283"/>
        <v>5179.5600000000004</v>
      </c>
      <c r="L874" s="301">
        <f t="shared" si="284"/>
        <v>116.54</v>
      </c>
      <c r="M874" s="154">
        <f t="shared" si="285"/>
        <v>23.31</v>
      </c>
      <c r="N874" s="250">
        <f t="shared" si="288"/>
        <v>139.85</v>
      </c>
      <c r="O874" s="516"/>
      <c r="P874" s="516"/>
      <c r="Q874" s="516"/>
      <c r="R874" s="516"/>
      <c r="S874" s="516"/>
      <c r="T874" s="516"/>
      <c r="U874" s="516"/>
      <c r="V874" s="516"/>
      <c r="W874" s="516"/>
      <c r="X874" s="516"/>
      <c r="Y874" s="121"/>
      <c r="Z874" s="111">
        <v>4849.6633592550006</v>
      </c>
      <c r="AA874" s="42">
        <v>8497.7099999999991</v>
      </c>
      <c r="AB874" s="52">
        <v>3.15E-2</v>
      </c>
      <c r="AC874" s="52"/>
      <c r="AD874" s="22">
        <f>E873/0.25*0.65</f>
        <v>1.9500000000000003E-2</v>
      </c>
    </row>
    <row r="875" spans="1:30" s="20" customFormat="1" ht="178.5" hidden="1" x14ac:dyDescent="0.2">
      <c r="A875" s="350">
        <f t="shared" si="291"/>
        <v>719</v>
      </c>
      <c r="B875" s="328" t="s">
        <v>349</v>
      </c>
      <c r="C875" s="386" t="s">
        <v>358</v>
      </c>
      <c r="D875" s="330" t="s">
        <v>355</v>
      </c>
      <c r="E875" s="330">
        <v>4.6800000000000001E-2</v>
      </c>
      <c r="F875" s="254">
        <v>1</v>
      </c>
      <c r="G875" s="254">
        <f t="shared" si="290"/>
        <v>4.6800000000000001E-2</v>
      </c>
      <c r="H875" s="254">
        <v>19696.099999999999</v>
      </c>
      <c r="I875" s="359">
        <f t="shared" si="282"/>
        <v>16413.416666666668</v>
      </c>
      <c r="J875" s="254">
        <v>13.046200000000001</v>
      </c>
      <c r="K875" s="299">
        <f t="shared" si="283"/>
        <v>214132.72</v>
      </c>
      <c r="L875" s="301">
        <f t="shared" si="284"/>
        <v>10021.41</v>
      </c>
      <c r="M875" s="154">
        <f t="shared" si="285"/>
        <v>2004.28</v>
      </c>
      <c r="N875" s="250">
        <f t="shared" si="288"/>
        <v>12025.69</v>
      </c>
      <c r="O875" s="516"/>
      <c r="P875" s="516"/>
      <c r="Q875" s="516"/>
      <c r="R875" s="516"/>
      <c r="S875" s="516"/>
      <c r="T875" s="516"/>
      <c r="U875" s="516"/>
      <c r="V875" s="516"/>
      <c r="W875" s="516"/>
      <c r="X875" s="516"/>
      <c r="Y875" s="121"/>
      <c r="Z875" s="111">
        <v>41.462320185000003</v>
      </c>
      <c r="AA875" s="42">
        <v>72.650000000000006</v>
      </c>
      <c r="AB875" s="36">
        <v>2.5000000000000001E-4</v>
      </c>
      <c r="AC875" s="52">
        <v>75</v>
      </c>
      <c r="AD875" s="22"/>
    </row>
    <row r="876" spans="1:30" s="20" customFormat="1" ht="178.5" hidden="1" x14ac:dyDescent="0.2">
      <c r="A876" s="350">
        <f t="shared" si="291"/>
        <v>720</v>
      </c>
      <c r="B876" s="328" t="s">
        <v>347</v>
      </c>
      <c r="C876" s="386" t="s">
        <v>357</v>
      </c>
      <c r="D876" s="303" t="s">
        <v>355</v>
      </c>
      <c r="E876" s="303">
        <v>1.7999999999999999E-2</v>
      </c>
      <c r="F876" s="254">
        <v>1</v>
      </c>
      <c r="G876" s="254">
        <f t="shared" si="290"/>
        <v>1.7999999999999999E-2</v>
      </c>
      <c r="H876" s="254">
        <v>437.82</v>
      </c>
      <c r="I876" s="359">
        <f t="shared" si="282"/>
        <v>364.85</v>
      </c>
      <c r="J876" s="254">
        <v>13.046200000000001</v>
      </c>
      <c r="K876" s="299">
        <f t="shared" ref="K876:K886" si="292">ROUND(I876*J876,2)</f>
        <v>4759.91</v>
      </c>
      <c r="L876" s="301">
        <f t="shared" si="284"/>
        <v>85.68</v>
      </c>
      <c r="M876" s="154">
        <f t="shared" ref="M876:M885" si="293">ROUND(L876*0.2,2)</f>
        <v>17.14</v>
      </c>
      <c r="N876" s="250">
        <f t="shared" si="288"/>
        <v>102.82</v>
      </c>
      <c r="O876" s="516"/>
      <c r="P876" s="516"/>
      <c r="Q876" s="516"/>
      <c r="R876" s="516"/>
      <c r="S876" s="516"/>
      <c r="T876" s="516"/>
      <c r="U876" s="516"/>
      <c r="V876" s="516"/>
      <c r="W876" s="516"/>
      <c r="X876" s="516"/>
      <c r="Y876" s="121"/>
      <c r="Z876" s="111">
        <v>135.35342320500001</v>
      </c>
      <c r="AA876" s="42">
        <v>237.17</v>
      </c>
      <c r="AB876" s="52"/>
      <c r="AC876" s="52"/>
      <c r="AD876" s="22"/>
    </row>
    <row r="877" spans="1:30" s="20" customFormat="1" ht="216.75" hidden="1" x14ac:dyDescent="0.2">
      <c r="A877" s="350">
        <f t="shared" si="291"/>
        <v>721</v>
      </c>
      <c r="B877" s="328" t="s">
        <v>365</v>
      </c>
      <c r="C877" s="386" t="s">
        <v>366</v>
      </c>
      <c r="D877" s="330" t="s">
        <v>411</v>
      </c>
      <c r="E877" s="330">
        <v>0.5776</v>
      </c>
      <c r="F877" s="254">
        <v>1</v>
      </c>
      <c r="G877" s="254">
        <f t="shared" si="290"/>
        <v>0.5776</v>
      </c>
      <c r="H877" s="254">
        <v>262.08</v>
      </c>
      <c r="I877" s="359">
        <f t="shared" ref="I877:I886" si="294">H877/1.2</f>
        <v>218.4</v>
      </c>
      <c r="J877" s="254">
        <v>13.046200000000001</v>
      </c>
      <c r="K877" s="299">
        <f t="shared" si="292"/>
        <v>2849.29</v>
      </c>
      <c r="L877" s="301">
        <f t="shared" ref="L877:L886" si="295">ROUND(K877*G877,2)</f>
        <v>1645.75</v>
      </c>
      <c r="M877" s="154">
        <f t="shared" si="293"/>
        <v>329.15</v>
      </c>
      <c r="N877" s="250">
        <f t="shared" si="288"/>
        <v>1974.9</v>
      </c>
      <c r="O877" s="516"/>
      <c r="P877" s="516"/>
      <c r="Q877" s="516"/>
      <c r="R877" s="516"/>
      <c r="S877" s="516"/>
      <c r="T877" s="516"/>
      <c r="U877" s="516"/>
      <c r="V877" s="516"/>
      <c r="W877" s="516"/>
      <c r="X877" s="516"/>
      <c r="Y877" s="121"/>
      <c r="Z877" s="111">
        <v>11639.192062212</v>
      </c>
      <c r="AA877" s="42">
        <v>20394.509999999998</v>
      </c>
      <c r="AB877" s="52">
        <v>0.33600000000000002</v>
      </c>
      <c r="AC877" s="52"/>
      <c r="AD877" s="22">
        <f>E876/0.25*0.65</f>
        <v>4.6800000000000001E-2</v>
      </c>
    </row>
    <row r="878" spans="1:30" s="20" customFormat="1" ht="178.5" hidden="1" x14ac:dyDescent="0.2">
      <c r="A878" s="350">
        <f t="shared" si="291"/>
        <v>722</v>
      </c>
      <c r="B878" s="328" t="s">
        <v>349</v>
      </c>
      <c r="C878" s="386" t="s">
        <v>356</v>
      </c>
      <c r="D878" s="330" t="s">
        <v>355</v>
      </c>
      <c r="E878" s="332">
        <v>3.7544000000000008E-2</v>
      </c>
      <c r="F878" s="254">
        <v>1</v>
      </c>
      <c r="G878" s="300">
        <f t="shared" si="290"/>
        <v>3.7544000000000008E-2</v>
      </c>
      <c r="H878" s="254">
        <v>19696.099999999999</v>
      </c>
      <c r="I878" s="359">
        <f t="shared" si="294"/>
        <v>16413.416666666668</v>
      </c>
      <c r="J878" s="254">
        <v>13.046200000000001</v>
      </c>
      <c r="K878" s="299">
        <f t="shared" si="292"/>
        <v>214132.72</v>
      </c>
      <c r="L878" s="301">
        <f t="shared" si="295"/>
        <v>8039.4</v>
      </c>
      <c r="M878" s="154">
        <f t="shared" si="293"/>
        <v>1607.88</v>
      </c>
      <c r="N878" s="250">
        <f t="shared" si="288"/>
        <v>9647.2800000000007</v>
      </c>
      <c r="O878" s="516"/>
      <c r="P878" s="516"/>
      <c r="Q878" s="516"/>
      <c r="R878" s="516"/>
      <c r="S878" s="516"/>
      <c r="T878" s="516"/>
      <c r="U878" s="516"/>
      <c r="V878" s="516"/>
      <c r="W878" s="516"/>
      <c r="X878" s="516"/>
      <c r="Y878" s="121"/>
      <c r="Z878" s="111">
        <v>99.509568443999996</v>
      </c>
      <c r="AA878" s="42">
        <v>174.36</v>
      </c>
      <c r="AB878" s="36">
        <v>2.5000000000000001E-4</v>
      </c>
      <c r="AC878" s="52">
        <v>3200</v>
      </c>
      <c r="AD878" s="22"/>
    </row>
    <row r="879" spans="1:30" s="20" customFormat="1" ht="178.5" hidden="1" x14ac:dyDescent="0.2">
      <c r="A879" s="350">
        <f t="shared" si="291"/>
        <v>723</v>
      </c>
      <c r="B879" s="328" t="s">
        <v>347</v>
      </c>
      <c r="C879" s="386" t="s">
        <v>357</v>
      </c>
      <c r="D879" s="303" t="s">
        <v>355</v>
      </c>
      <c r="E879" s="303">
        <v>1.4440000000000001E-2</v>
      </c>
      <c r="F879" s="254">
        <v>1</v>
      </c>
      <c r="G879" s="300">
        <f t="shared" si="290"/>
        <v>1.4440000000000001E-2</v>
      </c>
      <c r="H879" s="254">
        <v>437.82</v>
      </c>
      <c r="I879" s="359">
        <f t="shared" si="294"/>
        <v>364.85</v>
      </c>
      <c r="J879" s="254">
        <v>13.046200000000001</v>
      </c>
      <c r="K879" s="299">
        <f t="shared" si="292"/>
        <v>4759.91</v>
      </c>
      <c r="L879" s="301">
        <f t="shared" si="295"/>
        <v>68.73</v>
      </c>
      <c r="M879" s="154">
        <f t="shared" si="293"/>
        <v>13.75</v>
      </c>
      <c r="N879" s="250">
        <f t="shared" si="288"/>
        <v>82.48</v>
      </c>
      <c r="O879" s="516"/>
      <c r="P879" s="516"/>
      <c r="Q879" s="516"/>
      <c r="R879" s="516"/>
      <c r="S879" s="516"/>
      <c r="T879" s="516"/>
      <c r="U879" s="516"/>
      <c r="V879" s="516"/>
      <c r="W879" s="516"/>
      <c r="X879" s="516"/>
      <c r="Y879" s="121"/>
      <c r="Z879" s="111">
        <v>1911.4273930751999</v>
      </c>
      <c r="AA879" s="42">
        <v>3349.26</v>
      </c>
      <c r="AB879" s="52"/>
      <c r="AC879" s="52"/>
      <c r="AD879" s="22"/>
    </row>
    <row r="880" spans="1:30" s="20" customFormat="1" ht="51" hidden="1" x14ac:dyDescent="0.2">
      <c r="A880" s="335"/>
      <c r="B880" s="257"/>
      <c r="C880" s="70" t="s">
        <v>44</v>
      </c>
      <c r="D880" s="229"/>
      <c r="E880" s="229"/>
      <c r="F880" s="229"/>
      <c r="G880" s="229"/>
      <c r="H880" s="217"/>
      <c r="I880" s="359"/>
      <c r="J880" s="254"/>
      <c r="K880" s="299"/>
      <c r="L880" s="301"/>
      <c r="M880" s="154"/>
      <c r="N880" s="250"/>
      <c r="O880" s="516"/>
      <c r="P880" s="516"/>
      <c r="Q880" s="516"/>
      <c r="R880" s="516"/>
      <c r="S880" s="516"/>
      <c r="T880" s="516"/>
      <c r="U880" s="516"/>
      <c r="V880" s="516"/>
      <c r="W880" s="516"/>
      <c r="X880" s="516"/>
      <c r="Y880" s="121"/>
      <c r="Z880" s="111">
        <v>9337.2185210189618</v>
      </c>
      <c r="AA880" s="42">
        <v>16360.93</v>
      </c>
      <c r="AB880" s="52">
        <v>7.8E-2</v>
      </c>
      <c r="AC880" s="52"/>
      <c r="AD880" s="22">
        <f>E879/0.25*0.65</f>
        <v>3.7544000000000008E-2</v>
      </c>
    </row>
    <row r="881" spans="1:30" s="20" customFormat="1" ht="165.75" hidden="1" x14ac:dyDescent="0.2">
      <c r="A881" s="350">
        <f>A879+1</f>
        <v>724</v>
      </c>
      <c r="B881" s="245" t="s">
        <v>353</v>
      </c>
      <c r="C881" s="386" t="s">
        <v>368</v>
      </c>
      <c r="D881" s="303" t="s">
        <v>354</v>
      </c>
      <c r="E881" s="254">
        <v>0.2</v>
      </c>
      <c r="F881" s="254">
        <v>1</v>
      </c>
      <c r="G881" s="303">
        <f t="shared" ref="G881:G886" si="296">E881*F881</f>
        <v>0.2</v>
      </c>
      <c r="H881" s="254">
        <v>279.35000000000002</v>
      </c>
      <c r="I881" s="359">
        <f t="shared" si="294"/>
        <v>232.79166666666669</v>
      </c>
      <c r="J881" s="254">
        <v>13.046200000000001</v>
      </c>
      <c r="K881" s="299">
        <f t="shared" si="292"/>
        <v>3037.05</v>
      </c>
      <c r="L881" s="301">
        <f t="shared" si="295"/>
        <v>607.41</v>
      </c>
      <c r="M881" s="154">
        <f t="shared" si="293"/>
        <v>121.48</v>
      </c>
      <c r="N881" s="250">
        <f t="shared" si="288"/>
        <v>728.89</v>
      </c>
      <c r="O881" s="516"/>
      <c r="P881" s="516"/>
      <c r="Q881" s="516"/>
      <c r="R881" s="516"/>
      <c r="S881" s="516"/>
      <c r="T881" s="516"/>
      <c r="U881" s="516"/>
      <c r="V881" s="516"/>
      <c r="W881" s="516"/>
      <c r="X881" s="516"/>
      <c r="Y881" s="121"/>
      <c r="Z881" s="111">
        <v>79.828787129520009</v>
      </c>
      <c r="AA881" s="42">
        <v>139.88</v>
      </c>
      <c r="AB881" s="36">
        <v>2.5000000000000001E-4</v>
      </c>
      <c r="AC881" s="52">
        <v>100</v>
      </c>
      <c r="AD881" s="22"/>
    </row>
    <row r="882" spans="1:30" s="20" customFormat="1" ht="178.5" hidden="1" x14ac:dyDescent="0.2">
      <c r="A882" s="350">
        <f>A881+1</f>
        <v>725</v>
      </c>
      <c r="B882" s="245" t="s">
        <v>349</v>
      </c>
      <c r="C882" s="386" t="s">
        <v>356</v>
      </c>
      <c r="D882" s="330" t="s">
        <v>355</v>
      </c>
      <c r="E882" s="254">
        <v>1.2999999999999999E-2</v>
      </c>
      <c r="F882" s="254">
        <v>1</v>
      </c>
      <c r="G882" s="303">
        <f t="shared" si="296"/>
        <v>1.2999999999999999E-2</v>
      </c>
      <c r="H882" s="254">
        <v>19696.099999999999</v>
      </c>
      <c r="I882" s="359">
        <f t="shared" si="294"/>
        <v>16413.416666666668</v>
      </c>
      <c r="J882" s="254">
        <v>13.046200000000001</v>
      </c>
      <c r="K882" s="299">
        <f t="shared" si="292"/>
        <v>214132.72</v>
      </c>
      <c r="L882" s="301">
        <f t="shared" si="295"/>
        <v>2783.73</v>
      </c>
      <c r="M882" s="154">
        <f t="shared" si="293"/>
        <v>556.75</v>
      </c>
      <c r="N882" s="250">
        <f t="shared" si="288"/>
        <v>3340.48</v>
      </c>
      <c r="O882" s="516"/>
      <c r="P882" s="516"/>
      <c r="Q882" s="516"/>
      <c r="R882" s="516"/>
      <c r="S882" s="516"/>
      <c r="T882" s="516"/>
      <c r="U882" s="516"/>
      <c r="V882" s="516"/>
      <c r="W882" s="516"/>
      <c r="X882" s="516"/>
      <c r="Y882" s="121"/>
      <c r="Z882" s="80">
        <v>0</v>
      </c>
      <c r="AA882" s="53"/>
      <c r="AB882" s="19">
        <f>N868+N869+N870+N871+N872+N873+N874+N875+N876+N877+N878+N879</f>
        <v>32840.650000000009</v>
      </c>
      <c r="AC882" s="22"/>
      <c r="AD882" s="22"/>
    </row>
    <row r="883" spans="1:30" s="20" customFormat="1" ht="178.5" hidden="1" x14ac:dyDescent="0.2">
      <c r="A883" s="350">
        <f>A882+1</f>
        <v>726</v>
      </c>
      <c r="B883" s="245" t="s">
        <v>347</v>
      </c>
      <c r="C883" s="386" t="s">
        <v>357</v>
      </c>
      <c r="D883" s="303" t="s">
        <v>355</v>
      </c>
      <c r="E883" s="254">
        <v>5.0000000000000001E-3</v>
      </c>
      <c r="F883" s="254">
        <v>1</v>
      </c>
      <c r="G883" s="303">
        <f t="shared" si="296"/>
        <v>5.0000000000000001E-3</v>
      </c>
      <c r="H883" s="254">
        <v>437.82</v>
      </c>
      <c r="I883" s="359">
        <f t="shared" si="294"/>
        <v>364.85</v>
      </c>
      <c r="J883" s="254">
        <v>13.046200000000001</v>
      </c>
      <c r="K883" s="299">
        <f t="shared" si="292"/>
        <v>4759.91</v>
      </c>
      <c r="L883" s="301">
        <f t="shared" si="295"/>
        <v>23.8</v>
      </c>
      <c r="M883" s="154">
        <f t="shared" si="293"/>
        <v>4.76</v>
      </c>
      <c r="N883" s="250">
        <f t="shared" si="288"/>
        <v>28.56</v>
      </c>
      <c r="O883" s="516"/>
      <c r="P883" s="516"/>
      <c r="Q883" s="516"/>
      <c r="R883" s="516"/>
      <c r="S883" s="516"/>
      <c r="T883" s="516"/>
      <c r="U883" s="516"/>
      <c r="V883" s="516"/>
      <c r="W883" s="516"/>
      <c r="X883" s="516"/>
      <c r="Y883" s="121"/>
      <c r="Z883" s="111">
        <v>705.46490300000005</v>
      </c>
      <c r="AA883" s="42">
        <v>1236.1400000000001</v>
      </c>
      <c r="AB883" s="51"/>
      <c r="AC883" s="22"/>
      <c r="AD883" s="22"/>
    </row>
    <row r="884" spans="1:30" s="20" customFormat="1" ht="165.75" hidden="1" x14ac:dyDescent="0.2">
      <c r="A884" s="350">
        <f>A883+1</f>
        <v>727</v>
      </c>
      <c r="B884" s="245" t="s">
        <v>363</v>
      </c>
      <c r="C884" s="386" t="s">
        <v>400</v>
      </c>
      <c r="D884" s="303" t="s">
        <v>354</v>
      </c>
      <c r="E884" s="254">
        <v>7.0000000000000001E-3</v>
      </c>
      <c r="F884" s="254">
        <v>1</v>
      </c>
      <c r="G884" s="303">
        <f t="shared" si="296"/>
        <v>7.0000000000000001E-3</v>
      </c>
      <c r="H884" s="254">
        <v>279.35000000000002</v>
      </c>
      <c r="I884" s="359">
        <f t="shared" si="294"/>
        <v>232.79166666666669</v>
      </c>
      <c r="J884" s="254">
        <v>13.046200000000001</v>
      </c>
      <c r="K884" s="299">
        <f t="shared" si="292"/>
        <v>3037.05</v>
      </c>
      <c r="L884" s="301">
        <f t="shared" si="295"/>
        <v>21.26</v>
      </c>
      <c r="M884" s="154">
        <f t="shared" si="293"/>
        <v>4.25</v>
      </c>
      <c r="N884" s="250">
        <f t="shared" si="288"/>
        <v>25.51</v>
      </c>
      <c r="O884" s="516"/>
      <c r="P884" s="516"/>
      <c r="Q884" s="516"/>
      <c r="R884" s="516"/>
      <c r="S884" s="516"/>
      <c r="T884" s="516"/>
      <c r="U884" s="516"/>
      <c r="V884" s="516"/>
      <c r="W884" s="516"/>
      <c r="X884" s="516"/>
      <c r="Y884" s="121"/>
      <c r="Z884" s="111">
        <v>3233.10890617</v>
      </c>
      <c r="AA884" s="42">
        <v>5665.14</v>
      </c>
      <c r="AB884" s="51"/>
      <c r="AC884" s="22"/>
      <c r="AD884" s="22"/>
    </row>
    <row r="885" spans="1:30" s="20" customFormat="1" ht="178.5" hidden="1" x14ac:dyDescent="0.2">
      <c r="A885" s="350">
        <f>A884+1</f>
        <v>728</v>
      </c>
      <c r="B885" s="245" t="s">
        <v>349</v>
      </c>
      <c r="C885" s="386" t="s">
        <v>356</v>
      </c>
      <c r="D885" s="330" t="s">
        <v>355</v>
      </c>
      <c r="E885" s="254">
        <v>1.82E-3</v>
      </c>
      <c r="F885" s="254">
        <v>1</v>
      </c>
      <c r="G885" s="303">
        <f t="shared" si="296"/>
        <v>1.82E-3</v>
      </c>
      <c r="H885" s="254">
        <v>19696.099999999999</v>
      </c>
      <c r="I885" s="359">
        <f t="shared" si="294"/>
        <v>16413.416666666668</v>
      </c>
      <c r="J885" s="254">
        <v>13.046200000000001</v>
      </c>
      <c r="K885" s="299">
        <f t="shared" si="292"/>
        <v>214132.72</v>
      </c>
      <c r="L885" s="301">
        <f t="shared" si="295"/>
        <v>389.72</v>
      </c>
      <c r="M885" s="154">
        <f t="shared" si="293"/>
        <v>77.94</v>
      </c>
      <c r="N885" s="250">
        <f t="shared" si="288"/>
        <v>467.66</v>
      </c>
      <c r="O885" s="516"/>
      <c r="P885" s="516"/>
      <c r="Q885" s="516"/>
      <c r="R885" s="516"/>
      <c r="S885" s="516"/>
      <c r="T885" s="516"/>
      <c r="U885" s="516"/>
      <c r="V885" s="516"/>
      <c r="W885" s="516"/>
      <c r="X885" s="516"/>
      <c r="Y885" s="121"/>
      <c r="Z885" s="111">
        <v>27.64154679</v>
      </c>
      <c r="AA885" s="42">
        <v>48.43</v>
      </c>
      <c r="AB885" s="51"/>
      <c r="AC885" s="22"/>
      <c r="AD885" s="22"/>
    </row>
    <row r="886" spans="1:30" s="20" customFormat="1" ht="178.5" hidden="1" x14ac:dyDescent="0.2">
      <c r="A886" s="350">
        <f>A885+1</f>
        <v>729</v>
      </c>
      <c r="B886" s="245" t="s">
        <v>347</v>
      </c>
      <c r="C886" s="386" t="s">
        <v>357</v>
      </c>
      <c r="D886" s="303" t="s">
        <v>355</v>
      </c>
      <c r="E886" s="254">
        <v>6.9999999999999999E-4</v>
      </c>
      <c r="F886" s="254">
        <v>1</v>
      </c>
      <c r="G886" s="303">
        <f t="shared" si="296"/>
        <v>6.9999999999999999E-4</v>
      </c>
      <c r="H886" s="254">
        <v>437.82</v>
      </c>
      <c r="I886" s="359">
        <f t="shared" si="294"/>
        <v>364.85</v>
      </c>
      <c r="J886" s="254">
        <v>13.046200000000001</v>
      </c>
      <c r="K886" s="299">
        <f t="shared" si="292"/>
        <v>4759.91</v>
      </c>
      <c r="L886" s="301">
        <f t="shared" si="295"/>
        <v>3.33</v>
      </c>
      <c r="M886" s="154">
        <f>ROUND(L886*0.2,2)</f>
        <v>0.67</v>
      </c>
      <c r="N886" s="250">
        <f t="shared" si="288"/>
        <v>4</v>
      </c>
      <c r="O886" s="516"/>
      <c r="P886" s="516"/>
      <c r="Q886" s="516"/>
      <c r="R886" s="516"/>
      <c r="S886" s="516"/>
      <c r="T886" s="516"/>
      <c r="U886" s="516"/>
      <c r="V886" s="516"/>
      <c r="W886" s="516"/>
      <c r="X886" s="516"/>
      <c r="Y886" s="121"/>
      <c r="Z886" s="111">
        <v>24.691271605000001</v>
      </c>
      <c r="AA886" s="42">
        <v>43.26</v>
      </c>
      <c r="AB886" s="51"/>
      <c r="AC886" s="22"/>
      <c r="AD886" s="22"/>
    </row>
    <row r="887" spans="1:30" s="20" customFormat="1" ht="12.75" hidden="1" x14ac:dyDescent="0.2">
      <c r="A887" s="350"/>
      <c r="B887" s="245"/>
      <c r="C887" s="386"/>
      <c r="D887" s="303"/>
      <c r="E887" s="254"/>
      <c r="F887" s="254"/>
      <c r="G887" s="303"/>
      <c r="H887" s="254"/>
      <c r="I887" s="359"/>
      <c r="J887" s="254"/>
      <c r="K887" s="299"/>
      <c r="L887" s="301"/>
      <c r="M887" s="154"/>
      <c r="N887" s="250"/>
      <c r="O887" s="552">
        <v>127123.28</v>
      </c>
      <c r="P887" s="517"/>
      <c r="Q887" s="517"/>
      <c r="R887" s="517"/>
      <c r="S887" s="517"/>
      <c r="T887" s="517"/>
      <c r="U887" s="517"/>
      <c r="V887" s="517"/>
      <c r="W887" s="517"/>
      <c r="X887" s="517"/>
      <c r="Y887" s="122"/>
      <c r="Z887" s="111"/>
      <c r="AA887" s="42"/>
      <c r="AB887" s="51"/>
      <c r="AC887" s="22"/>
      <c r="AD887" s="22"/>
    </row>
    <row r="888" spans="1:30" s="20" customFormat="1" ht="25.5" hidden="1" x14ac:dyDescent="0.2">
      <c r="A888" s="241"/>
      <c r="B888" s="261"/>
      <c r="C888" s="270" t="s">
        <v>455</v>
      </c>
      <c r="D888" s="271"/>
      <c r="E888" s="272"/>
      <c r="F888" s="272"/>
      <c r="G888" s="178"/>
      <c r="H888" s="272"/>
      <c r="I888" s="272"/>
      <c r="J888" s="272"/>
      <c r="K888" s="272"/>
      <c r="L888" s="178">
        <f>SUM(L707:L886)-0.02</f>
        <v>10438117.820000006</v>
      </c>
      <c r="M888" s="197">
        <f>ROUND(L888*0.2,2)</f>
        <v>2087623.56</v>
      </c>
      <c r="N888" s="190">
        <f>L888+M888</f>
        <v>12525741.380000006</v>
      </c>
      <c r="O888" s="215"/>
      <c r="P888" s="215"/>
      <c r="Q888" s="215"/>
      <c r="R888" s="215"/>
      <c r="S888" s="215"/>
      <c r="T888" s="215"/>
      <c r="U888" s="215"/>
      <c r="V888" s="215"/>
      <c r="W888" s="215"/>
      <c r="X888" s="215"/>
      <c r="Y888" s="256">
        <v>127123.28</v>
      </c>
      <c r="Z888" s="111">
        <v>452.63524686379998</v>
      </c>
      <c r="AA888" s="42">
        <v>793.12</v>
      </c>
      <c r="AB888" s="51"/>
      <c r="AC888" s="22"/>
      <c r="AD888" s="22"/>
    </row>
    <row r="889" spans="1:30" s="20" customFormat="1" ht="12.75" hidden="1" x14ac:dyDescent="0.2">
      <c r="A889" s="335"/>
      <c r="B889" s="307"/>
      <c r="C889" s="214" t="s">
        <v>302</v>
      </c>
      <c r="D889" s="387"/>
      <c r="E889" s="387"/>
      <c r="F889" s="387"/>
      <c r="G889" s="387"/>
      <c r="H889" s="388"/>
      <c r="I889" s="388"/>
      <c r="J889" s="389"/>
      <c r="K889" s="389"/>
      <c r="L889" s="388"/>
      <c r="M889" s="390"/>
      <c r="N889" s="338"/>
      <c r="O889" s="338"/>
      <c r="P889" s="338"/>
      <c r="Q889" s="338"/>
      <c r="R889" s="338"/>
      <c r="S889" s="338"/>
      <c r="T889" s="338"/>
      <c r="U889" s="338"/>
      <c r="V889" s="338"/>
      <c r="W889" s="338"/>
      <c r="X889" s="338"/>
      <c r="Y889" s="11"/>
      <c r="Z889" s="104">
        <v>3.8698165506000004</v>
      </c>
      <c r="AA889" s="42">
        <v>6.78</v>
      </c>
      <c r="AB889" s="58">
        <f>N881+N882+N883+N884+N885+N886</f>
        <v>4595.1000000000004</v>
      </c>
      <c r="AC889" s="22"/>
      <c r="AD889" s="22"/>
    </row>
    <row r="890" spans="1:30" s="20" customFormat="1" ht="25.5" hidden="1" x14ac:dyDescent="0.2">
      <c r="A890" s="335"/>
      <c r="B890" s="235"/>
      <c r="C890" s="67" t="s">
        <v>146</v>
      </c>
      <c r="D890" s="168"/>
      <c r="E890" s="339"/>
      <c r="F890" s="173"/>
      <c r="G890" s="340"/>
      <c r="H890" s="167"/>
      <c r="I890" s="167"/>
      <c r="J890" s="167"/>
      <c r="K890" s="167"/>
      <c r="L890" s="179"/>
      <c r="M890" s="180"/>
      <c r="N890" s="353"/>
      <c r="O890" s="353"/>
      <c r="P890" s="353"/>
      <c r="Q890" s="353"/>
      <c r="R890" s="353"/>
      <c r="S890" s="353"/>
      <c r="T890" s="353"/>
      <c r="U890" s="353"/>
      <c r="V890" s="353"/>
      <c r="W890" s="353"/>
      <c r="X890" s="353"/>
      <c r="Y890" s="183">
        <f>SUM(N892:N931)</f>
        <v>3887847.54</v>
      </c>
      <c r="Z890" s="77"/>
      <c r="AA890" s="42"/>
      <c r="AB890" s="58"/>
      <c r="AC890" s="22"/>
      <c r="AD890" s="22"/>
    </row>
    <row r="891" spans="1:30" s="39" customFormat="1" ht="25.5" hidden="1" x14ac:dyDescent="0.2">
      <c r="A891" s="335"/>
      <c r="B891" s="307"/>
      <c r="C891" s="207" t="s">
        <v>147</v>
      </c>
      <c r="D891" s="292"/>
      <c r="E891" s="170"/>
      <c r="F891" s="282"/>
      <c r="G891" s="167"/>
      <c r="H891" s="293"/>
      <c r="I891" s="293"/>
      <c r="J891" s="293"/>
      <c r="K891" s="293"/>
      <c r="L891" s="167"/>
      <c r="M891" s="171"/>
      <c r="N891" s="172"/>
      <c r="O891" s="172" t="s">
        <v>408</v>
      </c>
      <c r="P891" s="172" t="s">
        <v>409</v>
      </c>
      <c r="Q891" s="172"/>
      <c r="R891" s="172"/>
      <c r="S891" s="172"/>
      <c r="T891" s="172"/>
      <c r="U891" s="172"/>
      <c r="V891" s="172"/>
      <c r="W891" s="172"/>
      <c r="X891" s="172"/>
      <c r="Y891" s="78">
        <f>Y893+Y895</f>
        <v>9589006.8000000007</v>
      </c>
      <c r="Z891" s="107">
        <v>6268052.2403771114</v>
      </c>
      <c r="AA891" s="37">
        <v>18015970.560000002</v>
      </c>
      <c r="AB891" s="38"/>
      <c r="AC891" s="38"/>
      <c r="AD891" s="38"/>
    </row>
    <row r="892" spans="1:30" s="20" customFormat="1" ht="51" hidden="1" x14ac:dyDescent="0.2">
      <c r="A892" s="335">
        <f>A886+1</f>
        <v>730</v>
      </c>
      <c r="B892" s="257" t="s">
        <v>456</v>
      </c>
      <c r="C892" s="391" t="s">
        <v>457</v>
      </c>
      <c r="D892" s="318" t="s">
        <v>519</v>
      </c>
      <c r="E892" s="354">
        <v>100</v>
      </c>
      <c r="F892" s="355">
        <v>1</v>
      </c>
      <c r="G892" s="254">
        <f>ROUND(E892*F892,2)</f>
        <v>100</v>
      </c>
      <c r="H892" s="298"/>
      <c r="I892" s="299">
        <v>8.66</v>
      </c>
      <c r="J892" s="300">
        <v>1.9442999999999999</v>
      </c>
      <c r="K892" s="299">
        <f>ROUND(I892*J892,2)</f>
        <v>16.84</v>
      </c>
      <c r="L892" s="301">
        <f>ROUND(K892*G892,2)</f>
        <v>1684</v>
      </c>
      <c r="M892" s="154">
        <f>ROUND(L892*0.2,2)</f>
        <v>336.8</v>
      </c>
      <c r="N892" s="250">
        <f>ROUND(L892+M892,2)</f>
        <v>2020.8</v>
      </c>
      <c r="O892" s="524">
        <f>O932</f>
        <v>3887847.54</v>
      </c>
      <c r="P892" s="530">
        <f>O955</f>
        <v>3801074.3599999994</v>
      </c>
      <c r="Q892" s="73">
        <f>O892+P892</f>
        <v>7688921.8999999994</v>
      </c>
      <c r="R892" s="73"/>
      <c r="S892" s="73"/>
      <c r="T892" s="73"/>
      <c r="U892" s="73"/>
      <c r="V892" s="73"/>
      <c r="W892" s="73"/>
      <c r="X892" s="73"/>
      <c r="Y892" s="23" t="s">
        <v>408</v>
      </c>
      <c r="Z892" s="96"/>
      <c r="AA892" s="18"/>
      <c r="AB892" s="22"/>
      <c r="AC892" s="22"/>
      <c r="AD892" s="22"/>
    </row>
    <row r="893" spans="1:30" s="20" customFormat="1" ht="51" hidden="1" x14ac:dyDescent="0.2">
      <c r="A893" s="335">
        <f t="shared" ref="A893:A903" si="297">A892+1</f>
        <v>731</v>
      </c>
      <c r="B893" s="257" t="s">
        <v>458</v>
      </c>
      <c r="C893" s="391" t="s">
        <v>459</v>
      </c>
      <c r="D893" s="318" t="s">
        <v>513</v>
      </c>
      <c r="E893" s="354">
        <v>1</v>
      </c>
      <c r="F893" s="355">
        <v>1</v>
      </c>
      <c r="G893" s="254">
        <f>ROUND(E893*F893,2)</f>
        <v>1</v>
      </c>
      <c r="H893" s="298"/>
      <c r="I893" s="299">
        <v>55423.41</v>
      </c>
      <c r="J893" s="300">
        <v>1.9442999999999999</v>
      </c>
      <c r="K893" s="299">
        <f>ROUND(I893*J893,2)</f>
        <v>107759.74</v>
      </c>
      <c r="L893" s="301">
        <f>ROUND(K893*G893,2)</f>
        <v>107759.74</v>
      </c>
      <c r="M893" s="154">
        <f>ROUND(L893*0.2,2)</f>
        <v>21551.95</v>
      </c>
      <c r="N893" s="250">
        <f>ROUND(L893+M893,2)</f>
        <v>129311.69</v>
      </c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150">
        <v>4462028.78</v>
      </c>
      <c r="Z893" s="101"/>
      <c r="AA893" s="18"/>
      <c r="AB893" s="19"/>
      <c r="AC893" s="19"/>
      <c r="AD893" s="22"/>
    </row>
    <row r="894" spans="1:30" s="20" customFormat="1" ht="51" hidden="1" x14ac:dyDescent="0.2">
      <c r="A894" s="335">
        <f t="shared" si="297"/>
        <v>732</v>
      </c>
      <c r="B894" s="257" t="s">
        <v>460</v>
      </c>
      <c r="C894" s="391" t="s">
        <v>461</v>
      </c>
      <c r="D894" s="318" t="s">
        <v>513</v>
      </c>
      <c r="E894" s="354">
        <v>1</v>
      </c>
      <c r="F894" s="355">
        <v>1</v>
      </c>
      <c r="G894" s="254">
        <f>ROUND(E894*F894,2)</f>
        <v>1</v>
      </c>
      <c r="H894" s="298"/>
      <c r="I894" s="299">
        <v>1959.47</v>
      </c>
      <c r="J894" s="300">
        <v>1.9442999999999999</v>
      </c>
      <c r="K894" s="299">
        <f>ROUND(I894*J894,2)</f>
        <v>3809.8</v>
      </c>
      <c r="L894" s="301">
        <f>ROUND(K894*G894,2)</f>
        <v>3809.8</v>
      </c>
      <c r="M894" s="154">
        <f>ROUND(L894*0.2,2)</f>
        <v>761.96</v>
      </c>
      <c r="N894" s="250">
        <f>ROUND(L894+M894,2)</f>
        <v>4571.76</v>
      </c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23" t="s">
        <v>409</v>
      </c>
      <c r="Z894" s="98"/>
      <c r="AA894" s="18"/>
      <c r="AB894" s="60"/>
      <c r="AC894" s="60"/>
      <c r="AD894" s="22"/>
    </row>
    <row r="895" spans="1:30" s="20" customFormat="1" ht="76.5" hidden="1" x14ac:dyDescent="0.2">
      <c r="A895" s="335">
        <f t="shared" si="297"/>
        <v>733</v>
      </c>
      <c r="B895" s="257" t="s">
        <v>148</v>
      </c>
      <c r="C895" s="386" t="s">
        <v>76</v>
      </c>
      <c r="D895" s="254" t="s">
        <v>354</v>
      </c>
      <c r="E895" s="254">
        <v>48.831800000000001</v>
      </c>
      <c r="F895" s="254">
        <v>1</v>
      </c>
      <c r="G895" s="254">
        <v>97.66</v>
      </c>
      <c r="H895" s="254"/>
      <c r="I895" s="299">
        <v>343.08</v>
      </c>
      <c r="J895" s="300">
        <v>1.9442999999999999</v>
      </c>
      <c r="K895" s="299">
        <f t="shared" ref="K895:K902" si="298">ROUND(I895*J895,2)</f>
        <v>667.05</v>
      </c>
      <c r="L895" s="301">
        <f>ROUND(K895*G895,2)</f>
        <v>65144.1</v>
      </c>
      <c r="M895" s="154">
        <f t="shared" ref="M895:M931" si="299">ROUND(L895*0.2,2)</f>
        <v>13028.82</v>
      </c>
      <c r="N895" s="73">
        <f t="shared" ref="N895:N902" si="300">M895+L895</f>
        <v>78172.92</v>
      </c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161">
        <v>5126978.0200000005</v>
      </c>
      <c r="Z895" s="98"/>
      <c r="AA895" s="18"/>
      <c r="AB895" s="60"/>
      <c r="AC895" s="60"/>
      <c r="AD895" s="22"/>
    </row>
    <row r="896" spans="1:30" s="20" customFormat="1" ht="76.5" hidden="1" x14ac:dyDescent="0.2">
      <c r="A896" s="335">
        <f t="shared" si="297"/>
        <v>734</v>
      </c>
      <c r="B896" s="257" t="s">
        <v>150</v>
      </c>
      <c r="C896" s="386" t="s">
        <v>303</v>
      </c>
      <c r="D896" s="254" t="s">
        <v>354</v>
      </c>
      <c r="E896" s="254">
        <v>41.2</v>
      </c>
      <c r="F896" s="254">
        <v>2</v>
      </c>
      <c r="G896" s="254">
        <f t="shared" ref="G896:G903" si="301">ROUND(E896*F896,2)</f>
        <v>82.4</v>
      </c>
      <c r="H896" s="254"/>
      <c r="I896" s="299">
        <v>188.57</v>
      </c>
      <c r="J896" s="300">
        <v>1.9442999999999999</v>
      </c>
      <c r="K896" s="299">
        <f t="shared" si="298"/>
        <v>366.64</v>
      </c>
      <c r="L896" s="301">
        <f t="shared" ref="L896:L902" si="302">ROUND(K896*G896,2)</f>
        <v>30211.14</v>
      </c>
      <c r="M896" s="154">
        <f t="shared" si="299"/>
        <v>6042.23</v>
      </c>
      <c r="N896" s="73">
        <f t="shared" si="300"/>
        <v>36253.369999999995</v>
      </c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64"/>
      <c r="Z896" s="98"/>
      <c r="AA896" s="18"/>
      <c r="AB896" s="60"/>
      <c r="AC896" s="60"/>
      <c r="AD896" s="22"/>
    </row>
    <row r="897" spans="1:30" s="20" customFormat="1" ht="76.5" hidden="1" x14ac:dyDescent="0.2">
      <c r="A897" s="335">
        <f t="shared" si="297"/>
        <v>735</v>
      </c>
      <c r="B897" s="257" t="s">
        <v>150</v>
      </c>
      <c r="C897" s="386" t="s">
        <v>78</v>
      </c>
      <c r="D897" s="254" t="s">
        <v>354</v>
      </c>
      <c r="E897" s="254">
        <v>174.4</v>
      </c>
      <c r="F897" s="254">
        <v>2</v>
      </c>
      <c r="G897" s="254">
        <f t="shared" si="301"/>
        <v>348.8</v>
      </c>
      <c r="H897" s="254"/>
      <c r="I897" s="299">
        <v>188.57</v>
      </c>
      <c r="J897" s="300">
        <v>1.9442999999999999</v>
      </c>
      <c r="K897" s="299">
        <f t="shared" si="298"/>
        <v>366.64</v>
      </c>
      <c r="L897" s="301">
        <f t="shared" si="302"/>
        <v>127884.03</v>
      </c>
      <c r="M897" s="154">
        <f t="shared" si="299"/>
        <v>25576.81</v>
      </c>
      <c r="N897" s="73">
        <f t="shared" si="300"/>
        <v>153460.84</v>
      </c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64"/>
      <c r="Z897" s="98"/>
      <c r="AA897" s="18"/>
      <c r="AB897" s="60"/>
      <c r="AC897" s="60"/>
      <c r="AD897" s="22"/>
    </row>
    <row r="898" spans="1:30" s="20" customFormat="1" ht="76.5" hidden="1" x14ac:dyDescent="0.2">
      <c r="A898" s="335">
        <f t="shared" si="297"/>
        <v>736</v>
      </c>
      <c r="B898" s="366" t="s">
        <v>150</v>
      </c>
      <c r="C898" s="386" t="s">
        <v>79</v>
      </c>
      <c r="D898" s="254" t="s">
        <v>354</v>
      </c>
      <c r="E898" s="254">
        <v>172.6</v>
      </c>
      <c r="F898" s="254">
        <v>1</v>
      </c>
      <c r="G898" s="254">
        <f>ROUND(E898*F898,2)</f>
        <v>172.6</v>
      </c>
      <c r="H898" s="281"/>
      <c r="I898" s="299">
        <v>188.57</v>
      </c>
      <c r="J898" s="300">
        <v>1.9442999999999999</v>
      </c>
      <c r="K898" s="299">
        <f>ROUND(I898*J898,2)</f>
        <v>366.64</v>
      </c>
      <c r="L898" s="301">
        <f>ROUND(K898*G898,2)</f>
        <v>63282.06</v>
      </c>
      <c r="M898" s="154">
        <f>ROUND(L898*0.2,2)</f>
        <v>12656.41</v>
      </c>
      <c r="N898" s="73">
        <f>M898+L898</f>
        <v>75938.47</v>
      </c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64"/>
      <c r="Z898" s="77">
        <v>53698.55</v>
      </c>
      <c r="AA898" s="18">
        <v>53646.59</v>
      </c>
      <c r="AB898" s="22"/>
      <c r="AC898" s="22"/>
      <c r="AD898" s="22"/>
    </row>
    <row r="899" spans="1:30" s="20" customFormat="1" ht="76.5" hidden="1" x14ac:dyDescent="0.2">
      <c r="A899" s="335">
        <f t="shared" si="297"/>
        <v>737</v>
      </c>
      <c r="B899" s="257" t="s">
        <v>151</v>
      </c>
      <c r="C899" s="257" t="s">
        <v>64</v>
      </c>
      <c r="D899" s="254" t="s">
        <v>411</v>
      </c>
      <c r="E899" s="254">
        <f>7.691+1.22</f>
        <v>8.9109999999999996</v>
      </c>
      <c r="F899" s="254">
        <v>2</v>
      </c>
      <c r="G899" s="254">
        <f t="shared" si="301"/>
        <v>17.82</v>
      </c>
      <c r="H899" s="254"/>
      <c r="I899" s="299">
        <v>44.32</v>
      </c>
      <c r="J899" s="300">
        <v>1.9442999999999999</v>
      </c>
      <c r="K899" s="299">
        <f t="shared" si="298"/>
        <v>86.17</v>
      </c>
      <c r="L899" s="301">
        <f t="shared" si="302"/>
        <v>1535.55</v>
      </c>
      <c r="M899" s="154">
        <f t="shared" si="299"/>
        <v>307.11</v>
      </c>
      <c r="N899" s="73">
        <f t="shared" si="300"/>
        <v>1842.6599999999999</v>
      </c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64"/>
      <c r="Z899" s="77">
        <v>24901.94</v>
      </c>
      <c r="AA899" s="18">
        <v>37317.31</v>
      </c>
      <c r="AB899" s="22"/>
      <c r="AC899" s="22"/>
      <c r="AD899" s="22"/>
    </row>
    <row r="900" spans="1:30" s="20" customFormat="1" ht="76.5" hidden="1" x14ac:dyDescent="0.2">
      <c r="A900" s="335">
        <f t="shared" si="297"/>
        <v>738</v>
      </c>
      <c r="B900" s="257" t="s">
        <v>152</v>
      </c>
      <c r="C900" s="386" t="s">
        <v>80</v>
      </c>
      <c r="D900" s="254" t="s">
        <v>411</v>
      </c>
      <c r="E900" s="254">
        <v>9.48</v>
      </c>
      <c r="F900" s="254">
        <v>2</v>
      </c>
      <c r="G900" s="254">
        <f t="shared" si="301"/>
        <v>18.96</v>
      </c>
      <c r="H900" s="254"/>
      <c r="I900" s="299">
        <v>66.5</v>
      </c>
      <c r="J900" s="300">
        <v>1.9442999999999999</v>
      </c>
      <c r="K900" s="299">
        <f t="shared" si="298"/>
        <v>129.30000000000001</v>
      </c>
      <c r="L900" s="301">
        <f t="shared" si="302"/>
        <v>2451.5300000000002</v>
      </c>
      <c r="M900" s="154">
        <f t="shared" si="299"/>
        <v>490.31</v>
      </c>
      <c r="N900" s="73">
        <f t="shared" si="300"/>
        <v>2941.84</v>
      </c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64"/>
      <c r="Z900" s="77">
        <v>52705.08</v>
      </c>
      <c r="AA900" s="18">
        <v>105309.7</v>
      </c>
      <c r="AB900" s="22"/>
      <c r="AC900" s="22"/>
      <c r="AD900" s="22"/>
    </row>
    <row r="901" spans="1:30" s="20" customFormat="1" ht="76.5" hidden="1" x14ac:dyDescent="0.2">
      <c r="A901" s="335">
        <f t="shared" si="297"/>
        <v>739</v>
      </c>
      <c r="B901" s="257" t="s">
        <v>153</v>
      </c>
      <c r="C901" s="386" t="s">
        <v>316</v>
      </c>
      <c r="D901" s="254" t="s">
        <v>422</v>
      </c>
      <c r="E901" s="254">
        <v>3</v>
      </c>
      <c r="F901" s="254">
        <v>3</v>
      </c>
      <c r="G901" s="254">
        <f t="shared" si="301"/>
        <v>9</v>
      </c>
      <c r="H901" s="254"/>
      <c r="I901" s="299">
        <v>218.45</v>
      </c>
      <c r="J901" s="300">
        <v>1.9442999999999999</v>
      </c>
      <c r="K901" s="299">
        <f t="shared" si="298"/>
        <v>424.73</v>
      </c>
      <c r="L901" s="301">
        <f t="shared" si="302"/>
        <v>3822.57</v>
      </c>
      <c r="M901" s="154">
        <f t="shared" si="299"/>
        <v>764.51</v>
      </c>
      <c r="N901" s="73">
        <f t="shared" si="300"/>
        <v>4587.08</v>
      </c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64"/>
      <c r="Z901" s="77"/>
      <c r="AA901" s="18"/>
      <c r="AB901" s="22"/>
      <c r="AC901" s="22"/>
      <c r="AD901" s="22"/>
    </row>
    <row r="902" spans="1:30" s="20" customFormat="1" ht="76.5" hidden="1" x14ac:dyDescent="0.2">
      <c r="A902" s="335">
        <f t="shared" si="297"/>
        <v>740</v>
      </c>
      <c r="B902" s="257" t="s">
        <v>154</v>
      </c>
      <c r="C902" s="386" t="s">
        <v>106</v>
      </c>
      <c r="D902" s="254" t="s">
        <v>354</v>
      </c>
      <c r="E902" s="254">
        <v>157.85900000000001</v>
      </c>
      <c r="F902" s="254">
        <v>2</v>
      </c>
      <c r="G902" s="254">
        <f t="shared" si="301"/>
        <v>315.72000000000003</v>
      </c>
      <c r="H902" s="254"/>
      <c r="I902" s="299">
        <v>241.57</v>
      </c>
      <c r="J902" s="300">
        <v>1.9442999999999999</v>
      </c>
      <c r="K902" s="299">
        <f t="shared" si="298"/>
        <v>469.68</v>
      </c>
      <c r="L902" s="301">
        <f t="shared" si="302"/>
        <v>148287.37</v>
      </c>
      <c r="M902" s="154">
        <f t="shared" si="299"/>
        <v>29657.47</v>
      </c>
      <c r="N902" s="73">
        <f t="shared" si="300"/>
        <v>177944.84</v>
      </c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64"/>
      <c r="Z902" s="77">
        <v>2184.8200000000002</v>
      </c>
      <c r="AA902" s="18">
        <v>1091.3599999999999</v>
      </c>
      <c r="AB902" s="22"/>
      <c r="AC902" s="22"/>
      <c r="AD902" s="22"/>
    </row>
    <row r="903" spans="1:30" s="20" customFormat="1" ht="19.5" hidden="1" customHeight="1" x14ac:dyDescent="0.2">
      <c r="A903" s="335">
        <f t="shared" si="297"/>
        <v>741</v>
      </c>
      <c r="B903" s="342" t="s">
        <v>505</v>
      </c>
      <c r="C903" s="366" t="s">
        <v>504</v>
      </c>
      <c r="D903" s="254" t="s">
        <v>355</v>
      </c>
      <c r="E903" s="254">
        <v>4</v>
      </c>
      <c r="F903" s="254">
        <v>2</v>
      </c>
      <c r="G903" s="254">
        <f t="shared" si="301"/>
        <v>8</v>
      </c>
      <c r="H903" s="299"/>
      <c r="I903" s="306"/>
      <c r="J903" s="300"/>
      <c r="K903" s="299">
        <v>4405.2299999999996</v>
      </c>
      <c r="L903" s="301">
        <f>ROUND(K903*G903,2)</f>
        <v>35241.839999999997</v>
      </c>
      <c r="M903" s="154">
        <f>ROUND(L903*0.2,2)</f>
        <v>7048.37</v>
      </c>
      <c r="N903" s="73">
        <f>ROUND(M903+L903,2)</f>
        <v>42290.21</v>
      </c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64"/>
      <c r="Z903" s="77">
        <v>4041.22</v>
      </c>
      <c r="AA903" s="18">
        <v>2018.48</v>
      </c>
      <c r="AB903" s="22"/>
      <c r="AC903" s="22"/>
      <c r="AD903" s="22"/>
    </row>
    <row r="904" spans="1:30" s="20" customFormat="1" ht="12.75" hidden="1" x14ac:dyDescent="0.2">
      <c r="A904" s="335"/>
      <c r="B904" s="257"/>
      <c r="C904" s="207" t="s">
        <v>81</v>
      </c>
      <c r="D904" s="254"/>
      <c r="E904" s="254"/>
      <c r="F904" s="254"/>
      <c r="G904" s="254"/>
      <c r="H904" s="254"/>
      <c r="I904" s="254"/>
      <c r="J904" s="254"/>
      <c r="K904" s="254"/>
      <c r="L904" s="254"/>
      <c r="M904" s="154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64"/>
      <c r="Z904" s="77">
        <v>3151.01</v>
      </c>
      <c r="AA904" s="18">
        <v>3147.93</v>
      </c>
      <c r="AB904" s="22"/>
      <c r="AC904" s="22"/>
      <c r="AD904" s="22"/>
    </row>
    <row r="905" spans="1:30" s="20" customFormat="1" ht="75.75" hidden="1" customHeight="1" x14ac:dyDescent="0.2">
      <c r="A905" s="335">
        <f>A903+1</f>
        <v>742</v>
      </c>
      <c r="B905" s="257" t="s">
        <v>155</v>
      </c>
      <c r="C905" s="386" t="s">
        <v>107</v>
      </c>
      <c r="D905" s="254" t="s">
        <v>411</v>
      </c>
      <c r="E905" s="254">
        <f>6.66*0.4</f>
        <v>2.6640000000000001</v>
      </c>
      <c r="F905" s="254">
        <v>1</v>
      </c>
      <c r="G905" s="254">
        <f>ROUND(E905*F905,2)</f>
        <v>2.66</v>
      </c>
      <c r="H905" s="254"/>
      <c r="I905" s="299">
        <v>64649.39</v>
      </c>
      <c r="J905" s="300">
        <v>1.9442999999999999</v>
      </c>
      <c r="K905" s="299">
        <f t="shared" ref="K905:K931" si="303">ROUND(I905*J905,2)</f>
        <v>125697.81</v>
      </c>
      <c r="L905" s="301">
        <f>ROUND(K905*G905,2)</f>
        <v>334356.17</v>
      </c>
      <c r="M905" s="154">
        <f t="shared" si="299"/>
        <v>66871.23</v>
      </c>
      <c r="N905" s="73">
        <f t="shared" ref="N905:N931" si="304">M905+L905</f>
        <v>401227.39999999997</v>
      </c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64"/>
      <c r="Z905" s="77">
        <v>122232.89000000001</v>
      </c>
      <c r="AA905" s="18">
        <v>61057.09</v>
      </c>
      <c r="AB905" s="22"/>
      <c r="AC905" s="22"/>
      <c r="AD905" s="22"/>
    </row>
    <row r="906" spans="1:30" s="20" customFormat="1" ht="81.75" hidden="1" customHeight="1" x14ac:dyDescent="0.2">
      <c r="A906" s="335">
        <f>A905+1</f>
        <v>743</v>
      </c>
      <c r="B906" s="257" t="s">
        <v>156</v>
      </c>
      <c r="C906" s="386" t="s">
        <v>108</v>
      </c>
      <c r="D906" s="254" t="s">
        <v>411</v>
      </c>
      <c r="E906" s="254">
        <f>3.32*0.5</f>
        <v>1.66</v>
      </c>
      <c r="F906" s="254">
        <v>1</v>
      </c>
      <c r="G906" s="254">
        <f>ROUND(E906*F906,2)</f>
        <v>1.66</v>
      </c>
      <c r="H906" s="254"/>
      <c r="I906" s="299">
        <v>77125.899999999994</v>
      </c>
      <c r="J906" s="300">
        <v>1.9442999999999999</v>
      </c>
      <c r="K906" s="299">
        <f t="shared" si="303"/>
        <v>149955.89000000001</v>
      </c>
      <c r="L906" s="301">
        <f t="shared" ref="L906:L931" si="305">ROUND(K906*G906,2)</f>
        <v>248926.78</v>
      </c>
      <c r="M906" s="154">
        <f t="shared" si="299"/>
        <v>49785.36</v>
      </c>
      <c r="N906" s="73">
        <f t="shared" si="304"/>
        <v>298712.14</v>
      </c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64"/>
      <c r="Z906" s="77"/>
      <c r="AA906" s="18"/>
      <c r="AB906" s="22"/>
      <c r="AC906" s="22"/>
      <c r="AD906" s="22"/>
    </row>
    <row r="907" spans="1:30" s="20" customFormat="1" ht="89.25" hidden="1" x14ac:dyDescent="0.2">
      <c r="A907" s="335">
        <f>A906+1</f>
        <v>744</v>
      </c>
      <c r="B907" s="257" t="s">
        <v>158</v>
      </c>
      <c r="C907" s="386" t="s">
        <v>82</v>
      </c>
      <c r="D907" s="254" t="s">
        <v>433</v>
      </c>
      <c r="E907" s="254">
        <f>3098*0.3</f>
        <v>929.4</v>
      </c>
      <c r="F907" s="254">
        <v>1</v>
      </c>
      <c r="G907" s="254">
        <f>ROUND(E907*F907,2)</f>
        <v>929.4</v>
      </c>
      <c r="H907" s="254"/>
      <c r="I907" s="299">
        <v>35.799999999999997</v>
      </c>
      <c r="J907" s="300">
        <v>1.9442999999999999</v>
      </c>
      <c r="K907" s="299">
        <f t="shared" si="303"/>
        <v>69.61</v>
      </c>
      <c r="L907" s="301">
        <f t="shared" si="305"/>
        <v>64695.53</v>
      </c>
      <c r="M907" s="154">
        <f t="shared" si="299"/>
        <v>12939.11</v>
      </c>
      <c r="N907" s="73">
        <f t="shared" si="304"/>
        <v>77634.64</v>
      </c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64"/>
      <c r="Z907" s="77"/>
      <c r="AA907" s="18"/>
      <c r="AB907" s="22"/>
      <c r="AC907" s="22"/>
      <c r="AD907" s="22"/>
    </row>
    <row r="908" spans="1:30" s="20" customFormat="1" ht="127.5" hidden="1" x14ac:dyDescent="0.2">
      <c r="A908" s="335">
        <f>A907+1</f>
        <v>745</v>
      </c>
      <c r="B908" s="257" t="s">
        <v>304</v>
      </c>
      <c r="C908" s="386" t="s">
        <v>103</v>
      </c>
      <c r="D908" s="254" t="s">
        <v>437</v>
      </c>
      <c r="E908" s="254">
        <f>333*0.4</f>
        <v>133.20000000000002</v>
      </c>
      <c r="F908" s="254">
        <v>1</v>
      </c>
      <c r="G908" s="254">
        <f>ROUND(E908*F908,2)</f>
        <v>133.19999999999999</v>
      </c>
      <c r="H908" s="254"/>
      <c r="I908" s="299">
        <v>315.70999999999998</v>
      </c>
      <c r="J908" s="300">
        <v>1.9442999999999999</v>
      </c>
      <c r="K908" s="299">
        <f t="shared" si="303"/>
        <v>613.83000000000004</v>
      </c>
      <c r="L908" s="301">
        <f t="shared" si="305"/>
        <v>81762.16</v>
      </c>
      <c r="M908" s="154">
        <f t="shared" si="299"/>
        <v>16352.43</v>
      </c>
      <c r="N908" s="73">
        <f t="shared" si="304"/>
        <v>98114.59</v>
      </c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64"/>
      <c r="Z908" s="77">
        <v>345032.27</v>
      </c>
      <c r="AA908" s="18">
        <v>689390.59</v>
      </c>
      <c r="AB908" s="22">
        <f>AC908*0.0005/100</f>
        <v>3.3319299999999998</v>
      </c>
      <c r="AC908" s="22">
        <v>666386</v>
      </c>
      <c r="AD908" s="22"/>
    </row>
    <row r="909" spans="1:30" s="20" customFormat="1" ht="76.5" hidden="1" x14ac:dyDescent="0.2">
      <c r="A909" s="335">
        <f>A908+1</f>
        <v>746</v>
      </c>
      <c r="B909" s="257" t="s">
        <v>305</v>
      </c>
      <c r="C909" s="386" t="s">
        <v>110</v>
      </c>
      <c r="D909" s="254" t="s">
        <v>432</v>
      </c>
      <c r="E909" s="254">
        <v>517.79999999999995</v>
      </c>
      <c r="F909" s="254">
        <v>3</v>
      </c>
      <c r="G909" s="254">
        <f>ROUND(E909*F909,2)</f>
        <v>1553.4</v>
      </c>
      <c r="H909" s="254"/>
      <c r="I909" s="299">
        <v>283.41000000000003</v>
      </c>
      <c r="J909" s="300">
        <v>1.9442999999999999</v>
      </c>
      <c r="K909" s="299">
        <f t="shared" si="303"/>
        <v>551.03</v>
      </c>
      <c r="L909" s="301">
        <f t="shared" si="305"/>
        <v>855970</v>
      </c>
      <c r="M909" s="154">
        <f t="shared" si="299"/>
        <v>171194</v>
      </c>
      <c r="N909" s="73">
        <f t="shared" si="304"/>
        <v>1027164</v>
      </c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64"/>
      <c r="Z909" s="77">
        <v>205191.52</v>
      </c>
      <c r="AA909" s="18">
        <v>409982.25</v>
      </c>
      <c r="AB909" s="22">
        <f>AB908/2</f>
        <v>1.6659649999999999</v>
      </c>
      <c r="AC909" s="22"/>
      <c r="AD909" s="22"/>
    </row>
    <row r="910" spans="1:30" s="20" customFormat="1" ht="25.5" hidden="1" x14ac:dyDescent="0.2">
      <c r="A910" s="335"/>
      <c r="B910" s="257"/>
      <c r="C910" s="207" t="s">
        <v>83</v>
      </c>
      <c r="D910" s="254"/>
      <c r="E910" s="254"/>
      <c r="F910" s="254"/>
      <c r="G910" s="254"/>
      <c r="H910" s="254"/>
      <c r="I910" s="299"/>
      <c r="J910" s="300"/>
      <c r="K910" s="299"/>
      <c r="L910" s="301"/>
      <c r="M910" s="154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64"/>
      <c r="Z910" s="77">
        <v>124442.94</v>
      </c>
      <c r="AA910" s="18">
        <v>124342.26</v>
      </c>
      <c r="AB910" s="22"/>
      <c r="AC910" s="22"/>
      <c r="AD910" s="22"/>
    </row>
    <row r="911" spans="1:30" s="20" customFormat="1" ht="76.5" hidden="1" x14ac:dyDescent="0.2">
      <c r="A911" s="335">
        <f>A909+1</f>
        <v>747</v>
      </c>
      <c r="B911" s="257" t="s">
        <v>161</v>
      </c>
      <c r="C911" s="386" t="s">
        <v>84</v>
      </c>
      <c r="D911" s="254" t="s">
        <v>433</v>
      </c>
      <c r="E911" s="254">
        <f>948*0.2</f>
        <v>189.60000000000002</v>
      </c>
      <c r="F911" s="254">
        <v>1</v>
      </c>
      <c r="G911" s="254">
        <f>ROUND(E911*F911,2)</f>
        <v>189.6</v>
      </c>
      <c r="H911" s="254"/>
      <c r="I911" s="299">
        <v>77.2</v>
      </c>
      <c r="J911" s="300">
        <v>1.9442999999999999</v>
      </c>
      <c r="K911" s="299">
        <f t="shared" si="303"/>
        <v>150.1</v>
      </c>
      <c r="L911" s="301">
        <f t="shared" si="305"/>
        <v>28458.959999999999</v>
      </c>
      <c r="M911" s="154">
        <f t="shared" si="299"/>
        <v>5691.79</v>
      </c>
      <c r="N911" s="73">
        <f t="shared" si="304"/>
        <v>34150.75</v>
      </c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64"/>
      <c r="Z911" s="77">
        <v>84247.67</v>
      </c>
      <c r="AA911" s="18">
        <v>168328.17</v>
      </c>
      <c r="AB911" s="22"/>
      <c r="AC911" s="22"/>
      <c r="AD911" s="22"/>
    </row>
    <row r="912" spans="1:30" s="20" customFormat="1" ht="89.25" hidden="1" x14ac:dyDescent="0.2">
      <c r="A912" s="335">
        <f>A911+1</f>
        <v>748</v>
      </c>
      <c r="B912" s="257" t="s">
        <v>162</v>
      </c>
      <c r="C912" s="386" t="s">
        <v>85</v>
      </c>
      <c r="D912" s="254" t="s">
        <v>437</v>
      </c>
      <c r="E912" s="254">
        <f>102*0.1</f>
        <v>10.200000000000001</v>
      </c>
      <c r="F912" s="254">
        <v>1</v>
      </c>
      <c r="G912" s="254">
        <f>ROUND(E912*F912,2)</f>
        <v>10.199999999999999</v>
      </c>
      <c r="H912" s="254"/>
      <c r="I912" s="299">
        <v>1547.81</v>
      </c>
      <c r="J912" s="300">
        <v>1.9442999999999999</v>
      </c>
      <c r="K912" s="299">
        <f t="shared" si="303"/>
        <v>3009.41</v>
      </c>
      <c r="L912" s="301">
        <f t="shared" si="305"/>
        <v>30695.98</v>
      </c>
      <c r="M912" s="154">
        <f t="shared" si="299"/>
        <v>6139.2</v>
      </c>
      <c r="N912" s="73">
        <f t="shared" si="304"/>
        <v>36835.18</v>
      </c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64"/>
      <c r="Z912" s="77">
        <v>1411220.4</v>
      </c>
      <c r="AA912" s="18">
        <v>939889.85</v>
      </c>
      <c r="AB912" s="22"/>
      <c r="AC912" s="22"/>
      <c r="AD912" s="22"/>
    </row>
    <row r="913" spans="1:30" s="20" customFormat="1" ht="38.25" hidden="1" x14ac:dyDescent="0.2">
      <c r="A913" s="335"/>
      <c r="B913" s="257"/>
      <c r="C913" s="207" t="s">
        <v>86</v>
      </c>
      <c r="D913" s="254"/>
      <c r="E913" s="254"/>
      <c r="F913" s="254"/>
      <c r="G913" s="254"/>
      <c r="H913" s="254"/>
      <c r="I913" s="299"/>
      <c r="J913" s="300"/>
      <c r="K913" s="299"/>
      <c r="L913" s="301"/>
      <c r="M913" s="154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64"/>
      <c r="Z913" s="77"/>
      <c r="AA913" s="18"/>
      <c r="AB913" s="22"/>
      <c r="AC913" s="22"/>
      <c r="AD913" s="22"/>
    </row>
    <row r="914" spans="1:30" s="20" customFormat="1" ht="51" hidden="1" x14ac:dyDescent="0.2">
      <c r="A914" s="335">
        <f>A912+1</f>
        <v>749</v>
      </c>
      <c r="B914" s="257" t="s">
        <v>306</v>
      </c>
      <c r="C914" s="386" t="s">
        <v>87</v>
      </c>
      <c r="D914" s="254" t="s">
        <v>422</v>
      </c>
      <c r="E914" s="254">
        <f>653-452</f>
        <v>201</v>
      </c>
      <c r="F914" s="254">
        <v>1</v>
      </c>
      <c r="G914" s="254">
        <f t="shared" ref="G914:G929" si="306">ROUND(E914*F914,2)</f>
        <v>201</v>
      </c>
      <c r="H914" s="254"/>
      <c r="I914" s="299">
        <v>108.09</v>
      </c>
      <c r="J914" s="300">
        <v>1.9442999999999999</v>
      </c>
      <c r="K914" s="299">
        <f t="shared" si="303"/>
        <v>210.16</v>
      </c>
      <c r="L914" s="301">
        <f t="shared" si="305"/>
        <v>42242.16</v>
      </c>
      <c r="M914" s="154">
        <f t="shared" si="299"/>
        <v>8448.43</v>
      </c>
      <c r="N914" s="73">
        <f t="shared" si="304"/>
        <v>50690.590000000004</v>
      </c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64"/>
      <c r="Z914" s="77">
        <v>58643.28</v>
      </c>
      <c r="AA914" s="18">
        <v>58586.87</v>
      </c>
      <c r="AB914" s="22"/>
      <c r="AC914" s="22"/>
      <c r="AD914" s="22"/>
    </row>
    <row r="915" spans="1:30" s="20" customFormat="1" ht="76.5" hidden="1" x14ac:dyDescent="0.2">
      <c r="A915" s="335">
        <f t="shared" ref="A915:A929" si="307">A914+1</f>
        <v>750</v>
      </c>
      <c r="B915" s="257" t="s">
        <v>164</v>
      </c>
      <c r="C915" s="366" t="s">
        <v>111</v>
      </c>
      <c r="D915" s="254" t="s">
        <v>422</v>
      </c>
      <c r="E915" s="254">
        <f>70-42</f>
        <v>28</v>
      </c>
      <c r="F915" s="254">
        <v>1</v>
      </c>
      <c r="G915" s="254">
        <f t="shared" si="306"/>
        <v>28</v>
      </c>
      <c r="H915" s="254"/>
      <c r="I915" s="299">
        <v>3286.73</v>
      </c>
      <c r="J915" s="300">
        <v>1.9442999999999999</v>
      </c>
      <c r="K915" s="299">
        <f t="shared" si="303"/>
        <v>6390.39</v>
      </c>
      <c r="L915" s="301">
        <f t="shared" si="305"/>
        <v>178930.92</v>
      </c>
      <c r="M915" s="154">
        <f t="shared" si="299"/>
        <v>35786.18</v>
      </c>
      <c r="N915" s="73">
        <f t="shared" si="304"/>
        <v>214717.1</v>
      </c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64"/>
      <c r="Z915" s="77">
        <v>126513.86</v>
      </c>
      <c r="AA915" s="18">
        <v>126390.34</v>
      </c>
      <c r="AB915" s="22"/>
      <c r="AC915" s="22"/>
      <c r="AD915" s="22"/>
    </row>
    <row r="916" spans="1:30" s="20" customFormat="1" ht="76.5" hidden="1" x14ac:dyDescent="0.2">
      <c r="A916" s="335">
        <f t="shared" si="307"/>
        <v>751</v>
      </c>
      <c r="B916" s="257" t="s">
        <v>502</v>
      </c>
      <c r="C916" s="366" t="s">
        <v>506</v>
      </c>
      <c r="D916" s="254" t="s">
        <v>422</v>
      </c>
      <c r="E916" s="254">
        <f>20/2</f>
        <v>10</v>
      </c>
      <c r="F916" s="254">
        <v>1</v>
      </c>
      <c r="G916" s="254">
        <f t="shared" si="306"/>
        <v>10</v>
      </c>
      <c r="H916" s="254"/>
      <c r="I916" s="299">
        <v>6596.71</v>
      </c>
      <c r="J916" s="300">
        <v>1.9442999999999999</v>
      </c>
      <c r="K916" s="299">
        <f t="shared" si="303"/>
        <v>12825.98</v>
      </c>
      <c r="L916" s="301">
        <f t="shared" si="305"/>
        <v>128259.8</v>
      </c>
      <c r="M916" s="154">
        <f t="shared" si="299"/>
        <v>25651.96</v>
      </c>
      <c r="N916" s="73">
        <f t="shared" si="304"/>
        <v>153911.76</v>
      </c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64"/>
      <c r="Z916" s="77"/>
      <c r="AA916" s="18"/>
      <c r="AB916" s="22"/>
      <c r="AC916" s="22"/>
      <c r="AD916" s="22"/>
    </row>
    <row r="917" spans="1:30" s="20" customFormat="1" ht="76.5" hidden="1" x14ac:dyDescent="0.2">
      <c r="A917" s="335">
        <f t="shared" si="307"/>
        <v>752</v>
      </c>
      <c r="B917" s="257" t="s">
        <v>167</v>
      </c>
      <c r="C917" s="386" t="s">
        <v>140</v>
      </c>
      <c r="D917" s="254" t="s">
        <v>422</v>
      </c>
      <c r="E917" s="254">
        <f>40/2</f>
        <v>20</v>
      </c>
      <c r="F917" s="254">
        <v>1</v>
      </c>
      <c r="G917" s="254">
        <f t="shared" si="306"/>
        <v>20</v>
      </c>
      <c r="H917" s="254"/>
      <c r="I917" s="299">
        <v>2893.7</v>
      </c>
      <c r="J917" s="300">
        <v>1.9442999999999999</v>
      </c>
      <c r="K917" s="299">
        <f t="shared" si="303"/>
        <v>5626.22</v>
      </c>
      <c r="L917" s="301">
        <f t="shared" si="305"/>
        <v>112524.4</v>
      </c>
      <c r="M917" s="154">
        <f t="shared" si="299"/>
        <v>22504.880000000001</v>
      </c>
      <c r="N917" s="73">
        <f t="shared" si="304"/>
        <v>135029.28</v>
      </c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64"/>
      <c r="Z917" s="77">
        <v>113120.5</v>
      </c>
      <c r="AA917" s="18">
        <v>33920.29</v>
      </c>
      <c r="AB917" s="22"/>
      <c r="AC917" s="22"/>
      <c r="AD917" s="22"/>
    </row>
    <row r="918" spans="1:30" s="20" customFormat="1" ht="76.5" hidden="1" x14ac:dyDescent="0.2">
      <c r="A918" s="335">
        <f t="shared" si="307"/>
        <v>753</v>
      </c>
      <c r="B918" s="257" t="s">
        <v>307</v>
      </c>
      <c r="C918" s="386" t="s">
        <v>137</v>
      </c>
      <c r="D918" s="254" t="s">
        <v>422</v>
      </c>
      <c r="E918" s="254">
        <v>50</v>
      </c>
      <c r="F918" s="254">
        <v>1</v>
      </c>
      <c r="G918" s="254">
        <f t="shared" si="306"/>
        <v>50</v>
      </c>
      <c r="H918" s="254"/>
      <c r="I918" s="299">
        <v>167.36</v>
      </c>
      <c r="J918" s="300">
        <v>1.9442999999999999</v>
      </c>
      <c r="K918" s="299">
        <f t="shared" si="303"/>
        <v>325.39999999999998</v>
      </c>
      <c r="L918" s="301">
        <f t="shared" si="305"/>
        <v>16270</v>
      </c>
      <c r="M918" s="154">
        <f t="shared" si="299"/>
        <v>3254</v>
      </c>
      <c r="N918" s="73">
        <f t="shared" si="304"/>
        <v>19524</v>
      </c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64"/>
      <c r="Z918" s="77">
        <v>368733.95999999996</v>
      </c>
      <c r="AA918" s="18">
        <v>115774.76</v>
      </c>
      <c r="AB918" s="22"/>
      <c r="AC918" s="22"/>
      <c r="AD918" s="22"/>
    </row>
    <row r="919" spans="1:30" s="20" customFormat="1" ht="89.25" hidden="1" x14ac:dyDescent="0.2">
      <c r="A919" s="335">
        <f t="shared" si="307"/>
        <v>754</v>
      </c>
      <c r="B919" s="257" t="s">
        <v>168</v>
      </c>
      <c r="C919" s="386" t="s">
        <v>112</v>
      </c>
      <c r="D919" s="254" t="s">
        <v>422</v>
      </c>
      <c r="E919" s="254">
        <v>100</v>
      </c>
      <c r="F919" s="254">
        <v>1</v>
      </c>
      <c r="G919" s="254">
        <f t="shared" si="306"/>
        <v>100</v>
      </c>
      <c r="H919" s="254"/>
      <c r="I919" s="299">
        <v>643.77</v>
      </c>
      <c r="J919" s="300">
        <v>1.9442999999999999</v>
      </c>
      <c r="K919" s="299">
        <f t="shared" si="303"/>
        <v>1251.68</v>
      </c>
      <c r="L919" s="301">
        <f t="shared" si="305"/>
        <v>125168</v>
      </c>
      <c r="M919" s="154">
        <f t="shared" si="299"/>
        <v>25033.599999999999</v>
      </c>
      <c r="N919" s="73">
        <f t="shared" si="304"/>
        <v>150201.60000000001</v>
      </c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64"/>
      <c r="Z919" s="77">
        <v>211450.32</v>
      </c>
      <c r="AA919" s="18">
        <v>73935.350000000006</v>
      </c>
      <c r="AB919" s="22"/>
      <c r="AC919" s="22"/>
      <c r="AD919" s="22"/>
    </row>
    <row r="920" spans="1:30" s="20" customFormat="1" ht="76.5" hidden="1" x14ac:dyDescent="0.2">
      <c r="A920" s="335">
        <f t="shared" si="307"/>
        <v>755</v>
      </c>
      <c r="B920" s="257" t="s">
        <v>169</v>
      </c>
      <c r="C920" s="386" t="s">
        <v>104</v>
      </c>
      <c r="D920" s="254" t="s">
        <v>411</v>
      </c>
      <c r="E920" s="254">
        <v>0.5</v>
      </c>
      <c r="F920" s="254">
        <v>1</v>
      </c>
      <c r="G920" s="254">
        <f t="shared" si="306"/>
        <v>0.5</v>
      </c>
      <c r="H920" s="254"/>
      <c r="I920" s="299">
        <v>5333.45</v>
      </c>
      <c r="J920" s="300">
        <v>1.9442999999999999</v>
      </c>
      <c r="K920" s="299">
        <f t="shared" si="303"/>
        <v>10369.83</v>
      </c>
      <c r="L920" s="301">
        <f t="shared" si="305"/>
        <v>5184.92</v>
      </c>
      <c r="M920" s="154">
        <f t="shared" si="299"/>
        <v>1036.98</v>
      </c>
      <c r="N920" s="73">
        <f t="shared" si="304"/>
        <v>6221.9</v>
      </c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64"/>
      <c r="Z920" s="77">
        <v>185508.47999999998</v>
      </c>
      <c r="AA920" s="18">
        <v>101930.07</v>
      </c>
      <c r="AB920" s="22"/>
      <c r="AC920" s="22"/>
      <c r="AD920" s="22"/>
    </row>
    <row r="921" spans="1:30" s="20" customFormat="1" ht="51" hidden="1" x14ac:dyDescent="0.2">
      <c r="A921" s="335">
        <f t="shared" si="307"/>
        <v>756</v>
      </c>
      <c r="B921" s="257" t="s">
        <v>466</v>
      </c>
      <c r="C921" s="366" t="s">
        <v>467</v>
      </c>
      <c r="D921" s="254" t="s">
        <v>422</v>
      </c>
      <c r="E921" s="254">
        <v>375</v>
      </c>
      <c r="F921" s="254">
        <v>2</v>
      </c>
      <c r="G921" s="254">
        <f t="shared" si="306"/>
        <v>750</v>
      </c>
      <c r="H921" s="254"/>
      <c r="I921" s="299">
        <v>98.67</v>
      </c>
      <c r="J921" s="300">
        <v>1.9442999999999999</v>
      </c>
      <c r="K921" s="299">
        <f t="shared" ref="K921:K927" si="308">ROUND(I921*J921,2)</f>
        <v>191.84</v>
      </c>
      <c r="L921" s="301">
        <f t="shared" ref="L921:L927" si="309">ROUND(K921*G921,2)</f>
        <v>143880</v>
      </c>
      <c r="M921" s="154">
        <f t="shared" ref="M921:M927" si="310">ROUND(L921*0.2,2)</f>
        <v>28776</v>
      </c>
      <c r="N921" s="73">
        <f t="shared" ref="N921:N927" si="311">M921+L921</f>
        <v>172656</v>
      </c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64"/>
      <c r="Z921" s="77">
        <v>26823.599999999999</v>
      </c>
      <c r="AA921" s="18">
        <v>26797.3</v>
      </c>
      <c r="AB921" s="22"/>
      <c r="AC921" s="22"/>
      <c r="AD921" s="22"/>
    </row>
    <row r="922" spans="1:30" s="20" customFormat="1" ht="51" hidden="1" x14ac:dyDescent="0.2">
      <c r="A922" s="335">
        <f t="shared" si="307"/>
        <v>757</v>
      </c>
      <c r="B922" s="257" t="s">
        <v>468</v>
      </c>
      <c r="C922" s="366" t="s">
        <v>469</v>
      </c>
      <c r="D922" s="254" t="s">
        <v>411</v>
      </c>
      <c r="E922" s="254">
        <v>0.5</v>
      </c>
      <c r="F922" s="254">
        <v>1</v>
      </c>
      <c r="G922" s="254">
        <f t="shared" si="306"/>
        <v>0.5</v>
      </c>
      <c r="H922" s="254"/>
      <c r="I922" s="299">
        <v>531.04</v>
      </c>
      <c r="J922" s="300">
        <v>1.9442999999999999</v>
      </c>
      <c r="K922" s="299">
        <f t="shared" si="308"/>
        <v>1032.5</v>
      </c>
      <c r="L922" s="301">
        <f t="shared" si="309"/>
        <v>516.25</v>
      </c>
      <c r="M922" s="154">
        <f t="shared" si="310"/>
        <v>103.25</v>
      </c>
      <c r="N922" s="73">
        <f t="shared" si="311"/>
        <v>619.5</v>
      </c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64"/>
      <c r="Z922" s="77">
        <v>103177.2</v>
      </c>
      <c r="AA922" s="18">
        <v>44322.62</v>
      </c>
      <c r="AB922" s="22"/>
      <c r="AC922" s="22"/>
      <c r="AD922" s="22"/>
    </row>
    <row r="923" spans="1:30" s="20" customFormat="1" ht="51" hidden="1" x14ac:dyDescent="0.2">
      <c r="A923" s="335">
        <f t="shared" si="307"/>
        <v>758</v>
      </c>
      <c r="B923" s="257" t="s">
        <v>470</v>
      </c>
      <c r="C923" s="382" t="s">
        <v>471</v>
      </c>
      <c r="D923" s="254" t="s">
        <v>433</v>
      </c>
      <c r="E923" s="254">
        <v>122</v>
      </c>
      <c r="F923" s="254">
        <v>1</v>
      </c>
      <c r="G923" s="254">
        <f t="shared" si="306"/>
        <v>122</v>
      </c>
      <c r="H923" s="254"/>
      <c r="I923" s="299">
        <v>2.89</v>
      </c>
      <c r="J923" s="300">
        <v>1.9442999999999999</v>
      </c>
      <c r="K923" s="299">
        <f>ROUND(I923*J923,2)</f>
        <v>5.62</v>
      </c>
      <c r="L923" s="301">
        <f t="shared" si="309"/>
        <v>685.64</v>
      </c>
      <c r="M923" s="154">
        <f t="shared" si="310"/>
        <v>137.13</v>
      </c>
      <c r="N923" s="73">
        <f t="shared" si="311"/>
        <v>822.77</v>
      </c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64"/>
      <c r="Z923" s="77">
        <v>12821.869999999999</v>
      </c>
      <c r="AA923" s="18">
        <v>4269.78</v>
      </c>
      <c r="AB923" s="22">
        <f>15*1/100</f>
        <v>0.15</v>
      </c>
      <c r="AC923" s="22" t="s">
        <v>335</v>
      </c>
      <c r="AD923" s="22"/>
    </row>
    <row r="924" spans="1:30" s="20" customFormat="1" ht="51" hidden="1" x14ac:dyDescent="0.2">
      <c r="A924" s="335">
        <f t="shared" si="307"/>
        <v>759</v>
      </c>
      <c r="B924" s="257" t="s">
        <v>472</v>
      </c>
      <c r="C924" s="382" t="s">
        <v>473</v>
      </c>
      <c r="D924" s="254" t="s">
        <v>422</v>
      </c>
      <c r="E924" s="254">
        <v>50</v>
      </c>
      <c r="F924" s="254">
        <v>1</v>
      </c>
      <c r="G924" s="254">
        <f t="shared" si="306"/>
        <v>50</v>
      </c>
      <c r="H924" s="254"/>
      <c r="I924" s="299">
        <v>101.02</v>
      </c>
      <c r="J924" s="300">
        <v>1.9442999999999999</v>
      </c>
      <c r="K924" s="299">
        <f t="shared" si="308"/>
        <v>196.41</v>
      </c>
      <c r="L924" s="301">
        <f t="shared" si="309"/>
        <v>9820.5</v>
      </c>
      <c r="M924" s="154">
        <f t="shared" si="310"/>
        <v>1964.1</v>
      </c>
      <c r="N924" s="73">
        <f t="shared" si="311"/>
        <v>11784.6</v>
      </c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64"/>
      <c r="Z924" s="77"/>
      <c r="AA924" s="18"/>
      <c r="AB924" s="22"/>
      <c r="AC924" s="22"/>
      <c r="AD924" s="22"/>
    </row>
    <row r="925" spans="1:30" s="20" customFormat="1" ht="51" hidden="1" x14ac:dyDescent="0.2">
      <c r="A925" s="335">
        <f t="shared" si="307"/>
        <v>760</v>
      </c>
      <c r="B925" s="257" t="s">
        <v>474</v>
      </c>
      <c r="C925" s="392" t="s">
        <v>475</v>
      </c>
      <c r="D925" s="254" t="s">
        <v>433</v>
      </c>
      <c r="E925" s="254">
        <v>122</v>
      </c>
      <c r="F925" s="254">
        <v>1</v>
      </c>
      <c r="G925" s="254">
        <f t="shared" si="306"/>
        <v>122</v>
      </c>
      <c r="H925" s="254"/>
      <c r="I925" s="299">
        <v>0.57999999999999996</v>
      </c>
      <c r="J925" s="300">
        <v>1.9442999999999999</v>
      </c>
      <c r="K925" s="299">
        <f t="shared" si="308"/>
        <v>1.1299999999999999</v>
      </c>
      <c r="L925" s="301">
        <f t="shared" si="309"/>
        <v>137.86000000000001</v>
      </c>
      <c r="M925" s="154">
        <f t="shared" si="310"/>
        <v>27.57</v>
      </c>
      <c r="N925" s="250">
        <f t="shared" si="311"/>
        <v>165.43</v>
      </c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64"/>
      <c r="Z925" s="77"/>
      <c r="AA925" s="18"/>
      <c r="AB925" s="22"/>
      <c r="AC925" s="22"/>
      <c r="AD925" s="22"/>
    </row>
    <row r="926" spans="1:30" s="20" customFormat="1" ht="51" hidden="1" x14ac:dyDescent="0.2">
      <c r="A926" s="335">
        <f t="shared" si="307"/>
        <v>761</v>
      </c>
      <c r="B926" s="257" t="s">
        <v>476</v>
      </c>
      <c r="C926" s="392" t="s">
        <v>477</v>
      </c>
      <c r="D926" s="254" t="s">
        <v>433</v>
      </c>
      <c r="E926" s="254">
        <v>10</v>
      </c>
      <c r="F926" s="254">
        <v>1</v>
      </c>
      <c r="G926" s="254">
        <f t="shared" si="306"/>
        <v>10</v>
      </c>
      <c r="H926" s="254"/>
      <c r="I926" s="299">
        <v>382.85</v>
      </c>
      <c r="J926" s="300">
        <v>1.9442999999999999</v>
      </c>
      <c r="K926" s="299">
        <f t="shared" si="308"/>
        <v>744.38</v>
      </c>
      <c r="L926" s="301">
        <f t="shared" si="309"/>
        <v>7443.8</v>
      </c>
      <c r="M926" s="154">
        <f t="shared" si="310"/>
        <v>1488.76</v>
      </c>
      <c r="N926" s="250">
        <f t="shared" si="311"/>
        <v>8932.56</v>
      </c>
      <c r="O926" s="517"/>
      <c r="P926" s="517"/>
      <c r="Q926" s="517"/>
      <c r="R926" s="517"/>
      <c r="S926" s="517"/>
      <c r="T926" s="517"/>
      <c r="U926" s="517"/>
      <c r="V926" s="517"/>
      <c r="W926" s="517"/>
      <c r="X926" s="517"/>
      <c r="Y926" s="122"/>
      <c r="Z926" s="77"/>
      <c r="AA926" s="18"/>
      <c r="AB926" s="22"/>
      <c r="AC926" s="22"/>
      <c r="AD926" s="22"/>
    </row>
    <row r="927" spans="1:30" s="20" customFormat="1" ht="51" hidden="1" x14ac:dyDescent="0.2">
      <c r="A927" s="335">
        <f t="shared" si="307"/>
        <v>762</v>
      </c>
      <c r="B927" s="257" t="s">
        <v>478</v>
      </c>
      <c r="C927" s="392" t="s">
        <v>479</v>
      </c>
      <c r="D927" s="254" t="s">
        <v>422</v>
      </c>
      <c r="E927" s="254">
        <v>50</v>
      </c>
      <c r="F927" s="254">
        <v>1</v>
      </c>
      <c r="G927" s="254">
        <f t="shared" si="306"/>
        <v>50</v>
      </c>
      <c r="H927" s="254"/>
      <c r="I927" s="299">
        <v>209.02</v>
      </c>
      <c r="J927" s="300">
        <v>1.9442999999999999</v>
      </c>
      <c r="K927" s="299">
        <f t="shared" si="308"/>
        <v>406.4</v>
      </c>
      <c r="L927" s="301">
        <f t="shared" si="309"/>
        <v>20320</v>
      </c>
      <c r="M927" s="154">
        <f t="shared" si="310"/>
        <v>4064</v>
      </c>
      <c r="N927" s="250">
        <f t="shared" si="311"/>
        <v>24384</v>
      </c>
      <c r="O927" s="517"/>
      <c r="P927" s="517"/>
      <c r="Q927" s="517"/>
      <c r="R927" s="517"/>
      <c r="S927" s="517"/>
      <c r="T927" s="517"/>
      <c r="U927" s="517"/>
      <c r="V927" s="517"/>
      <c r="W927" s="517"/>
      <c r="X927" s="517"/>
      <c r="Y927" s="122"/>
      <c r="Z927" s="77"/>
      <c r="AA927" s="18"/>
      <c r="AB927" s="22"/>
      <c r="AC927" s="22"/>
      <c r="AD927" s="22"/>
    </row>
    <row r="928" spans="1:30" s="20" customFormat="1" ht="63.75" hidden="1" x14ac:dyDescent="0.2">
      <c r="A928" s="335">
        <f t="shared" si="307"/>
        <v>763</v>
      </c>
      <c r="B928" s="257" t="s">
        <v>480</v>
      </c>
      <c r="C928" s="392" t="s">
        <v>509</v>
      </c>
      <c r="D928" s="254" t="s">
        <v>507</v>
      </c>
      <c r="E928" s="254">
        <v>4</v>
      </c>
      <c r="F928" s="254">
        <v>3</v>
      </c>
      <c r="G928" s="254">
        <f t="shared" si="306"/>
        <v>12</v>
      </c>
      <c r="H928" s="254"/>
      <c r="I928" s="299">
        <v>4248.72</v>
      </c>
      <c r="J928" s="300">
        <v>1.9442999999999999</v>
      </c>
      <c r="K928" s="299">
        <f>ROUND(I928*J928,2)</f>
        <v>8260.7900000000009</v>
      </c>
      <c r="L928" s="301">
        <f>ROUND(K928*G928,2)</f>
        <v>99129.48</v>
      </c>
      <c r="M928" s="154">
        <f>ROUND(L928*0.2,2)</f>
        <v>19825.900000000001</v>
      </c>
      <c r="N928" s="250">
        <f>ROUND(L928+M928,2)</f>
        <v>118955.38</v>
      </c>
      <c r="O928" s="517"/>
      <c r="P928" s="517"/>
      <c r="Q928" s="517"/>
      <c r="R928" s="517"/>
      <c r="S928" s="517"/>
      <c r="T928" s="517"/>
      <c r="U928" s="517"/>
      <c r="V928" s="517"/>
      <c r="W928" s="517"/>
      <c r="X928" s="517"/>
      <c r="Y928" s="122"/>
      <c r="Z928" s="77"/>
      <c r="AA928" s="18"/>
      <c r="AB928" s="22"/>
      <c r="AC928" s="22"/>
      <c r="AD928" s="22"/>
    </row>
    <row r="929" spans="1:30" s="20" customFormat="1" ht="38.25" hidden="1" x14ac:dyDescent="0.2">
      <c r="A929" s="335">
        <f t="shared" si="307"/>
        <v>764</v>
      </c>
      <c r="B929" s="222" t="s">
        <v>480</v>
      </c>
      <c r="C929" s="366" t="s">
        <v>518</v>
      </c>
      <c r="D929" s="314" t="s">
        <v>508</v>
      </c>
      <c r="E929" s="297">
        <v>1</v>
      </c>
      <c r="F929" s="297">
        <v>92</v>
      </c>
      <c r="G929" s="297">
        <f t="shared" si="306"/>
        <v>92</v>
      </c>
      <c r="H929" s="254"/>
      <c r="I929" s="299">
        <v>535.76</v>
      </c>
      <c r="J929" s="308">
        <v>1</v>
      </c>
      <c r="K929" s="299">
        <f>ROUND(I929*J929,2)</f>
        <v>535.76</v>
      </c>
      <c r="L929" s="301">
        <f>ROUND(K929*G929,2)</f>
        <v>49289.919999999998</v>
      </c>
      <c r="M929" s="154">
        <f>ROUND(L929*0.2,2)</f>
        <v>9857.98</v>
      </c>
      <c r="N929" s="250">
        <f>ROUND(M929+L929,2)</f>
        <v>59147.9</v>
      </c>
      <c r="O929" s="517"/>
      <c r="P929" s="517"/>
      <c r="Q929" s="517"/>
      <c r="R929" s="517"/>
      <c r="S929" s="517"/>
      <c r="T929" s="517"/>
      <c r="U929" s="517"/>
      <c r="V929" s="517"/>
      <c r="W929" s="517"/>
      <c r="X929" s="517"/>
      <c r="Y929" s="122"/>
      <c r="Z929" s="77"/>
      <c r="AA929" s="18"/>
      <c r="AB929" s="22"/>
      <c r="AC929" s="22"/>
      <c r="AD929" s="22"/>
    </row>
    <row r="930" spans="1:30" s="20" customFormat="1" ht="12.75" hidden="1" x14ac:dyDescent="0.2">
      <c r="A930" s="335"/>
      <c r="B930" s="257"/>
      <c r="C930" s="207" t="s">
        <v>88</v>
      </c>
      <c r="D930" s="254"/>
      <c r="E930" s="254"/>
      <c r="F930" s="254"/>
      <c r="G930" s="254"/>
      <c r="H930" s="254"/>
      <c r="I930" s="299"/>
      <c r="J930" s="300"/>
      <c r="K930" s="299"/>
      <c r="L930" s="301"/>
      <c r="M930" s="154"/>
      <c r="N930" s="250"/>
      <c r="O930" s="517"/>
      <c r="P930" s="517"/>
      <c r="Q930" s="517"/>
      <c r="R930" s="517"/>
      <c r="S930" s="517"/>
      <c r="T930" s="517"/>
      <c r="U930" s="517"/>
      <c r="V930" s="517"/>
      <c r="W930" s="517"/>
      <c r="X930" s="517"/>
      <c r="Y930" s="122"/>
      <c r="Z930" s="77"/>
      <c r="AA930" s="18"/>
      <c r="AB930" s="22"/>
      <c r="AC930" s="22"/>
      <c r="AD930" s="22"/>
    </row>
    <row r="931" spans="1:30" s="20" customFormat="1" ht="76.5" hidden="1" x14ac:dyDescent="0.2">
      <c r="A931" s="335">
        <f>A929+1</f>
        <v>765</v>
      </c>
      <c r="B931" s="257" t="s">
        <v>190</v>
      </c>
      <c r="C931" s="386" t="s">
        <v>171</v>
      </c>
      <c r="D931" s="254" t="s">
        <v>422</v>
      </c>
      <c r="E931" s="254">
        <v>859</v>
      </c>
      <c r="F931" s="254">
        <v>3</v>
      </c>
      <c r="G931" s="254">
        <f>ROUND(E931*F931,2)</f>
        <v>2577</v>
      </c>
      <c r="H931" s="254"/>
      <c r="I931" s="299">
        <v>12.79</v>
      </c>
      <c r="J931" s="300">
        <v>1.9442999999999999</v>
      </c>
      <c r="K931" s="299">
        <f t="shared" si="303"/>
        <v>24.87</v>
      </c>
      <c r="L931" s="301">
        <f t="shared" si="305"/>
        <v>64089.99</v>
      </c>
      <c r="M931" s="154">
        <f t="shared" si="299"/>
        <v>12818</v>
      </c>
      <c r="N931" s="250">
        <f t="shared" si="304"/>
        <v>76907.989999999991</v>
      </c>
      <c r="O931" s="517"/>
      <c r="P931" s="517"/>
      <c r="Q931" s="517"/>
      <c r="R931" s="517"/>
      <c r="S931" s="517"/>
      <c r="T931" s="517"/>
      <c r="U931" s="517"/>
      <c r="V931" s="517"/>
      <c r="W931" s="517"/>
      <c r="X931" s="517"/>
      <c r="Y931" s="122"/>
      <c r="Z931" s="77"/>
      <c r="AA931" s="18"/>
      <c r="AB931" s="22"/>
      <c r="AC931" s="22"/>
      <c r="AD931" s="22"/>
    </row>
    <row r="932" spans="1:30" s="20" customFormat="1" ht="25.5" hidden="1" x14ac:dyDescent="0.2">
      <c r="A932" s="335"/>
      <c r="B932" s="366"/>
      <c r="C932" s="207" t="s">
        <v>141</v>
      </c>
      <c r="D932" s="227"/>
      <c r="E932" s="254"/>
      <c r="F932" s="254"/>
      <c r="G932" s="254"/>
      <c r="H932" s="254"/>
      <c r="I932" s="299"/>
      <c r="J932" s="300"/>
      <c r="K932" s="299"/>
      <c r="L932" s="301"/>
      <c r="M932" s="154"/>
      <c r="N932" s="250"/>
      <c r="O932" s="524">
        <v>3887847.54</v>
      </c>
      <c r="P932" s="73"/>
      <c r="Q932" s="73"/>
      <c r="R932" s="73"/>
      <c r="S932" s="73"/>
      <c r="T932" s="73"/>
      <c r="U932" s="73"/>
      <c r="V932" s="73"/>
      <c r="W932" s="73"/>
      <c r="X932" s="73"/>
      <c r="Y932" s="183">
        <f>SUM(N933:N954)</f>
        <v>3801074.3599999994</v>
      </c>
      <c r="Z932" s="77"/>
      <c r="AA932" s="18"/>
      <c r="AB932" s="22"/>
      <c r="AC932" s="22"/>
      <c r="AD932" s="22"/>
    </row>
    <row r="933" spans="1:30" s="20" customFormat="1" ht="76.5" hidden="1" x14ac:dyDescent="0.2">
      <c r="A933" s="335">
        <f>A931+1</f>
        <v>766</v>
      </c>
      <c r="B933" s="366" t="s">
        <v>172</v>
      </c>
      <c r="C933" s="386" t="s">
        <v>308</v>
      </c>
      <c r="D933" s="254" t="s">
        <v>354</v>
      </c>
      <c r="E933" s="254">
        <v>41.2</v>
      </c>
      <c r="F933" s="254">
        <v>6</v>
      </c>
      <c r="G933" s="254">
        <f t="shared" ref="G933:G954" si="312">ROUND(E933*F933,2)</f>
        <v>247.2</v>
      </c>
      <c r="H933" s="254"/>
      <c r="I933" s="299">
        <v>35.01</v>
      </c>
      <c r="J933" s="300">
        <v>1.9442999999999999</v>
      </c>
      <c r="K933" s="299">
        <f>ROUND(I933*J933,2)</f>
        <v>68.069999999999993</v>
      </c>
      <c r="L933" s="301">
        <f>ROUND(K933*G933,2)</f>
        <v>16826.900000000001</v>
      </c>
      <c r="M933" s="154">
        <f t="shared" ref="M933:M954" si="313">ROUND(L933*0.2,2)</f>
        <v>3365.38</v>
      </c>
      <c r="N933" s="250">
        <f t="shared" ref="N933:N952" si="314">M933+L933</f>
        <v>20192.280000000002</v>
      </c>
      <c r="O933" s="515"/>
      <c r="P933" s="515"/>
      <c r="Q933" s="515"/>
      <c r="R933" s="515"/>
      <c r="S933" s="515"/>
      <c r="T933" s="515"/>
      <c r="U933" s="515"/>
      <c r="V933" s="515"/>
      <c r="W933" s="515"/>
      <c r="X933" s="515"/>
      <c r="Y933" s="120"/>
      <c r="Z933" s="77"/>
      <c r="AA933" s="18"/>
      <c r="AB933" s="22"/>
      <c r="AC933" s="22"/>
      <c r="AD933" s="22"/>
    </row>
    <row r="934" spans="1:30" s="20" customFormat="1" ht="76.5" hidden="1" x14ac:dyDescent="0.2">
      <c r="A934" s="335">
        <f>A933+1</f>
        <v>767</v>
      </c>
      <c r="B934" s="366" t="s">
        <v>174</v>
      </c>
      <c r="C934" s="386" t="s">
        <v>113</v>
      </c>
      <c r="D934" s="254" t="s">
        <v>354</v>
      </c>
      <c r="E934" s="254">
        <v>221.0026</v>
      </c>
      <c r="F934" s="254">
        <v>6</v>
      </c>
      <c r="G934" s="254">
        <f t="shared" si="312"/>
        <v>1326.02</v>
      </c>
      <c r="H934" s="254"/>
      <c r="I934" s="299">
        <v>101.44</v>
      </c>
      <c r="J934" s="300">
        <v>1.9442999999999999</v>
      </c>
      <c r="K934" s="299">
        <f t="shared" ref="K934:K954" si="315">ROUND(I934*J934,2)</f>
        <v>197.23</v>
      </c>
      <c r="L934" s="301">
        <f t="shared" ref="L934:L954" si="316">ROUND(K934*G934,2)</f>
        <v>261530.92</v>
      </c>
      <c r="M934" s="154">
        <f t="shared" si="313"/>
        <v>52306.18</v>
      </c>
      <c r="N934" s="250">
        <f t="shared" si="314"/>
        <v>313837.10000000003</v>
      </c>
      <c r="O934" s="515"/>
      <c r="P934" s="515"/>
      <c r="Q934" s="515"/>
      <c r="R934" s="515"/>
      <c r="S934" s="515"/>
      <c r="T934" s="515"/>
      <c r="U934" s="515"/>
      <c r="V934" s="515"/>
      <c r="W934" s="515"/>
      <c r="X934" s="515"/>
      <c r="Y934" s="120"/>
      <c r="Z934" s="77">
        <v>105795.28</v>
      </c>
      <c r="AA934" s="18">
        <v>105692.28</v>
      </c>
      <c r="AB934" s="22"/>
      <c r="AC934" s="22"/>
      <c r="AD934" s="22"/>
    </row>
    <row r="935" spans="1:30" s="20" customFormat="1" ht="63.75" hidden="1" x14ac:dyDescent="0.2">
      <c r="A935" s="335">
        <f t="shared" ref="A935:A954" si="317">A934+1</f>
        <v>768</v>
      </c>
      <c r="B935" s="366" t="s">
        <v>309</v>
      </c>
      <c r="C935" s="386" t="s">
        <v>176</v>
      </c>
      <c r="D935" s="254" t="s">
        <v>354</v>
      </c>
      <c r="E935" s="254">
        <v>172.6</v>
      </c>
      <c r="F935" s="254">
        <v>5</v>
      </c>
      <c r="G935" s="254">
        <f t="shared" si="312"/>
        <v>863</v>
      </c>
      <c r="H935" s="254"/>
      <c r="I935" s="299">
        <v>100.49</v>
      </c>
      <c r="J935" s="300">
        <v>1.9442999999999999</v>
      </c>
      <c r="K935" s="299">
        <f t="shared" si="315"/>
        <v>195.38</v>
      </c>
      <c r="L935" s="301">
        <f t="shared" si="316"/>
        <v>168612.94</v>
      </c>
      <c r="M935" s="154">
        <f t="shared" si="313"/>
        <v>33722.589999999997</v>
      </c>
      <c r="N935" s="250">
        <f t="shared" si="314"/>
        <v>202335.53</v>
      </c>
      <c r="O935" s="515"/>
      <c r="P935" s="515"/>
      <c r="Q935" s="515"/>
      <c r="R935" s="515"/>
      <c r="S935" s="515"/>
      <c r="T935" s="515"/>
      <c r="U935" s="515"/>
      <c r="V935" s="515"/>
      <c r="W935" s="515"/>
      <c r="X935" s="515"/>
      <c r="Y935" s="120"/>
      <c r="Z935" s="102"/>
      <c r="AA935" s="57"/>
      <c r="AB935" s="22"/>
      <c r="AC935" s="22"/>
      <c r="AD935" s="22"/>
    </row>
    <row r="936" spans="1:30" s="20" customFormat="1" ht="76.5" hidden="1" x14ac:dyDescent="0.2">
      <c r="A936" s="335">
        <f t="shared" si="317"/>
        <v>769</v>
      </c>
      <c r="B936" s="366" t="s">
        <v>177</v>
      </c>
      <c r="C936" s="386" t="s">
        <v>310</v>
      </c>
      <c r="D936" s="254" t="s">
        <v>432</v>
      </c>
      <c r="E936" s="254">
        <v>367.46080000000001</v>
      </c>
      <c r="F936" s="254">
        <v>6</v>
      </c>
      <c r="G936" s="254">
        <f t="shared" si="312"/>
        <v>2204.7600000000002</v>
      </c>
      <c r="H936" s="254"/>
      <c r="I936" s="299">
        <v>126.79</v>
      </c>
      <c r="J936" s="300">
        <v>1.9442999999999999</v>
      </c>
      <c r="K936" s="299">
        <f t="shared" si="315"/>
        <v>246.52</v>
      </c>
      <c r="L936" s="301">
        <f t="shared" si="316"/>
        <v>543517.43999999994</v>
      </c>
      <c r="M936" s="154">
        <f t="shared" si="313"/>
        <v>108703.49</v>
      </c>
      <c r="N936" s="250">
        <f t="shared" si="314"/>
        <v>652220.92999999993</v>
      </c>
      <c r="O936" s="515"/>
      <c r="P936" s="515"/>
      <c r="Q936" s="515"/>
      <c r="R936" s="515"/>
      <c r="S936" s="515"/>
      <c r="T936" s="515"/>
      <c r="U936" s="515"/>
      <c r="V936" s="515"/>
      <c r="W936" s="515"/>
      <c r="X936" s="515"/>
      <c r="Y936" s="120"/>
      <c r="Z936" s="102"/>
      <c r="AA936" s="57"/>
      <c r="AB936" s="22"/>
      <c r="AC936" s="22"/>
      <c r="AD936" s="22"/>
    </row>
    <row r="937" spans="1:30" s="20" customFormat="1" ht="76.5" hidden="1" x14ac:dyDescent="0.2">
      <c r="A937" s="335">
        <f t="shared" si="317"/>
        <v>770</v>
      </c>
      <c r="B937" s="366" t="s">
        <v>179</v>
      </c>
      <c r="C937" s="386" t="s">
        <v>296</v>
      </c>
      <c r="D937" s="254" t="s">
        <v>432</v>
      </c>
      <c r="E937" s="254">
        <v>517.79999999999995</v>
      </c>
      <c r="F937" s="254">
        <v>5</v>
      </c>
      <c r="G937" s="254">
        <f t="shared" si="312"/>
        <v>2589</v>
      </c>
      <c r="H937" s="254"/>
      <c r="I937" s="299">
        <v>57.42</v>
      </c>
      <c r="J937" s="300">
        <v>1.9442999999999999</v>
      </c>
      <c r="K937" s="299">
        <f t="shared" si="315"/>
        <v>111.64</v>
      </c>
      <c r="L937" s="301">
        <f t="shared" si="316"/>
        <v>289035.96000000002</v>
      </c>
      <c r="M937" s="154">
        <f t="shared" si="313"/>
        <v>57807.19</v>
      </c>
      <c r="N937" s="250">
        <f t="shared" si="314"/>
        <v>346843.15</v>
      </c>
      <c r="O937" s="515"/>
      <c r="P937" s="515"/>
      <c r="Q937" s="515"/>
      <c r="R937" s="515"/>
      <c r="S937" s="515"/>
      <c r="T937" s="515"/>
      <c r="U937" s="515"/>
      <c r="V937" s="515"/>
      <c r="W937" s="515"/>
      <c r="X937" s="515"/>
      <c r="Y937" s="120"/>
      <c r="Z937" s="102"/>
      <c r="AA937" s="57"/>
      <c r="AB937" s="22"/>
      <c r="AC937" s="22"/>
      <c r="AD937" s="22"/>
    </row>
    <row r="938" spans="1:30" s="20" customFormat="1" ht="76.5" hidden="1" x14ac:dyDescent="0.2">
      <c r="A938" s="335">
        <f t="shared" si="317"/>
        <v>771</v>
      </c>
      <c r="B938" s="366" t="s">
        <v>525</v>
      </c>
      <c r="C938" s="386" t="s">
        <v>311</v>
      </c>
      <c r="D938" s="254" t="s">
        <v>432</v>
      </c>
      <c r="E938" s="254">
        <v>144.19999999999999</v>
      </c>
      <c r="F938" s="254">
        <v>6</v>
      </c>
      <c r="G938" s="254">
        <f t="shared" si="312"/>
        <v>865.2</v>
      </c>
      <c r="H938" s="254"/>
      <c r="I938" s="299">
        <v>26.46</v>
      </c>
      <c r="J938" s="300">
        <v>1.9442999999999999</v>
      </c>
      <c r="K938" s="299">
        <f t="shared" si="315"/>
        <v>51.45</v>
      </c>
      <c r="L938" s="301">
        <f t="shared" si="316"/>
        <v>44514.54</v>
      </c>
      <c r="M938" s="154">
        <f t="shared" si="313"/>
        <v>8902.91</v>
      </c>
      <c r="N938" s="250">
        <f t="shared" si="314"/>
        <v>53417.45</v>
      </c>
      <c r="O938" s="515"/>
      <c r="P938" s="515"/>
      <c r="Q938" s="515"/>
      <c r="R938" s="515"/>
      <c r="S938" s="515"/>
      <c r="T938" s="515"/>
      <c r="U938" s="515"/>
      <c r="V938" s="515"/>
      <c r="W938" s="515"/>
      <c r="X938" s="515"/>
      <c r="Y938" s="120"/>
      <c r="Z938" s="102"/>
      <c r="AA938" s="57"/>
      <c r="AB938" s="22"/>
      <c r="AC938" s="22"/>
      <c r="AD938" s="22"/>
    </row>
    <row r="939" spans="1:30" s="20" customFormat="1" ht="76.5" hidden="1" x14ac:dyDescent="0.2">
      <c r="A939" s="335">
        <f t="shared" si="317"/>
        <v>772</v>
      </c>
      <c r="B939" s="257" t="s">
        <v>232</v>
      </c>
      <c r="C939" s="386" t="s">
        <v>312</v>
      </c>
      <c r="D939" s="254" t="s">
        <v>432</v>
      </c>
      <c r="E939" s="254">
        <v>144.19999999999999</v>
      </c>
      <c r="F939" s="254">
        <v>6</v>
      </c>
      <c r="G939" s="254">
        <f t="shared" si="312"/>
        <v>865.2</v>
      </c>
      <c r="H939" s="254"/>
      <c r="I939" s="299">
        <v>41.19</v>
      </c>
      <c r="J939" s="300">
        <v>1.9442999999999999</v>
      </c>
      <c r="K939" s="299">
        <f t="shared" si="315"/>
        <v>80.09</v>
      </c>
      <c r="L939" s="301">
        <f t="shared" si="316"/>
        <v>69293.87</v>
      </c>
      <c r="M939" s="154">
        <f t="shared" si="313"/>
        <v>13858.77</v>
      </c>
      <c r="N939" s="250">
        <f t="shared" si="314"/>
        <v>83152.639999999999</v>
      </c>
      <c r="O939" s="515"/>
      <c r="P939" s="515"/>
      <c r="Q939" s="515"/>
      <c r="R939" s="515"/>
      <c r="S939" s="515"/>
      <c r="T939" s="515"/>
      <c r="U939" s="515"/>
      <c r="V939" s="515"/>
      <c r="W939" s="515"/>
      <c r="X939" s="515"/>
      <c r="Y939" s="120"/>
      <c r="Z939" s="102"/>
      <c r="AA939" s="57"/>
      <c r="AB939" s="22"/>
      <c r="AC939" s="22"/>
      <c r="AD939" s="22"/>
    </row>
    <row r="940" spans="1:30" s="20" customFormat="1" ht="102" hidden="1" x14ac:dyDescent="0.2">
      <c r="A940" s="335">
        <f t="shared" si="317"/>
        <v>773</v>
      </c>
      <c r="B940" s="366" t="s">
        <v>182</v>
      </c>
      <c r="C940" s="386" t="s">
        <v>313</v>
      </c>
      <c r="D940" s="254" t="s">
        <v>432</v>
      </c>
      <c r="E940" s="254">
        <v>144.19999999999999</v>
      </c>
      <c r="F940" s="254">
        <v>5</v>
      </c>
      <c r="G940" s="254">
        <f t="shared" si="312"/>
        <v>721</v>
      </c>
      <c r="H940" s="254"/>
      <c r="I940" s="299">
        <v>57.06</v>
      </c>
      <c r="J940" s="300">
        <v>1.9442999999999999</v>
      </c>
      <c r="K940" s="299">
        <f t="shared" si="315"/>
        <v>110.94</v>
      </c>
      <c r="L940" s="301">
        <f t="shared" si="316"/>
        <v>79987.740000000005</v>
      </c>
      <c r="M940" s="154">
        <f t="shared" si="313"/>
        <v>15997.55</v>
      </c>
      <c r="N940" s="250">
        <f t="shared" si="314"/>
        <v>95985.290000000008</v>
      </c>
      <c r="O940" s="515"/>
      <c r="P940" s="515"/>
      <c r="Q940" s="515"/>
      <c r="R940" s="515"/>
      <c r="S940" s="515"/>
      <c r="T940" s="515"/>
      <c r="U940" s="515"/>
      <c r="V940" s="515"/>
      <c r="W940" s="515"/>
      <c r="X940" s="515"/>
      <c r="Y940" s="120"/>
      <c r="Z940" s="102"/>
      <c r="AA940" s="57"/>
      <c r="AB940" s="22"/>
      <c r="AC940" s="22"/>
      <c r="AD940" s="22"/>
    </row>
    <row r="941" spans="1:30" s="20" customFormat="1" ht="114.75" hidden="1" x14ac:dyDescent="0.2">
      <c r="A941" s="335">
        <f t="shared" si="317"/>
        <v>774</v>
      </c>
      <c r="B941" s="366" t="s">
        <v>182</v>
      </c>
      <c r="C941" s="386" t="s">
        <v>531</v>
      </c>
      <c r="D941" s="254" t="s">
        <v>432</v>
      </c>
      <c r="E941" s="254">
        <v>260.11200000000002</v>
      </c>
      <c r="F941" s="254">
        <v>5</v>
      </c>
      <c r="G941" s="254">
        <f t="shared" si="312"/>
        <v>1300.56</v>
      </c>
      <c r="H941" s="254"/>
      <c r="I941" s="299">
        <v>57.06</v>
      </c>
      <c r="J941" s="300">
        <v>1.9442999999999999</v>
      </c>
      <c r="K941" s="299">
        <f t="shared" si="315"/>
        <v>110.94</v>
      </c>
      <c r="L941" s="301">
        <f t="shared" si="316"/>
        <v>144284.13</v>
      </c>
      <c r="M941" s="154">
        <f t="shared" si="313"/>
        <v>28856.83</v>
      </c>
      <c r="N941" s="250">
        <f t="shared" si="314"/>
        <v>173140.96000000002</v>
      </c>
      <c r="O941" s="515"/>
      <c r="P941" s="515"/>
      <c r="Q941" s="515"/>
      <c r="R941" s="515"/>
      <c r="S941" s="515"/>
      <c r="T941" s="515"/>
      <c r="U941" s="515"/>
      <c r="V941" s="515"/>
      <c r="W941" s="515"/>
      <c r="X941" s="515"/>
      <c r="Y941" s="140">
        <f>N940+N941+N942</f>
        <v>1358457.97</v>
      </c>
      <c r="Z941" s="102"/>
      <c r="AA941" s="57"/>
      <c r="AB941" s="22"/>
      <c r="AC941" s="22"/>
      <c r="AD941" s="22"/>
    </row>
    <row r="942" spans="1:30" s="20" customFormat="1" ht="76.5" hidden="1" x14ac:dyDescent="0.2">
      <c r="A942" s="335">
        <f t="shared" si="317"/>
        <v>775</v>
      </c>
      <c r="B942" s="366" t="s">
        <v>189</v>
      </c>
      <c r="C942" s="366" t="s">
        <v>1</v>
      </c>
      <c r="D942" s="254" t="s">
        <v>355</v>
      </c>
      <c r="E942" s="254">
        <f>(E940+E941)*1000*300/1000/1000</f>
        <v>121.29360000000001</v>
      </c>
      <c r="F942" s="254">
        <v>5</v>
      </c>
      <c r="G942" s="254">
        <f t="shared" si="312"/>
        <v>606.47</v>
      </c>
      <c r="H942" s="254"/>
      <c r="I942" s="299">
        <v>769.85</v>
      </c>
      <c r="J942" s="300">
        <v>1.9442999999999999</v>
      </c>
      <c r="K942" s="299">
        <f t="shared" si="315"/>
        <v>1496.82</v>
      </c>
      <c r="L942" s="301">
        <f>ROUND(K942*G942,2)</f>
        <v>907776.43</v>
      </c>
      <c r="M942" s="154">
        <f t="shared" si="313"/>
        <v>181555.29</v>
      </c>
      <c r="N942" s="250">
        <f>ROUND(L942+M942,2)</f>
        <v>1089331.72</v>
      </c>
      <c r="O942" s="515"/>
      <c r="P942" s="515"/>
      <c r="Q942" s="515"/>
      <c r="R942" s="515"/>
      <c r="S942" s="515"/>
      <c r="T942" s="515"/>
      <c r="U942" s="515"/>
      <c r="V942" s="515"/>
      <c r="W942" s="515"/>
      <c r="X942" s="515"/>
      <c r="Y942" s="120"/>
      <c r="Z942" s="102"/>
      <c r="AA942" s="57"/>
      <c r="AB942" s="22"/>
      <c r="AC942" s="22"/>
      <c r="AD942" s="22"/>
    </row>
    <row r="943" spans="1:30" s="20" customFormat="1" ht="76.5" hidden="1" x14ac:dyDescent="0.2">
      <c r="A943" s="335">
        <f t="shared" si="317"/>
        <v>776</v>
      </c>
      <c r="B943" s="366" t="s">
        <v>184</v>
      </c>
      <c r="C943" s="386" t="s">
        <v>114</v>
      </c>
      <c r="D943" s="254" t="s">
        <v>432</v>
      </c>
      <c r="E943" s="254">
        <v>0.13</v>
      </c>
      <c r="F943" s="254">
        <v>4</v>
      </c>
      <c r="G943" s="254">
        <f t="shared" si="312"/>
        <v>0.52</v>
      </c>
      <c r="H943" s="254"/>
      <c r="I943" s="299">
        <v>8421.01</v>
      </c>
      <c r="J943" s="300">
        <v>1.9442999999999999</v>
      </c>
      <c r="K943" s="299">
        <f t="shared" si="315"/>
        <v>16372.97</v>
      </c>
      <c r="L943" s="301">
        <f t="shared" si="316"/>
        <v>8513.94</v>
      </c>
      <c r="M943" s="154">
        <f t="shared" si="313"/>
        <v>1702.79</v>
      </c>
      <c r="N943" s="250">
        <f t="shared" si="314"/>
        <v>10216.73</v>
      </c>
      <c r="O943" s="515"/>
      <c r="P943" s="515"/>
      <c r="Q943" s="515"/>
      <c r="R943" s="515"/>
      <c r="S943" s="515"/>
      <c r="T943" s="515"/>
      <c r="U943" s="515"/>
      <c r="V943" s="515"/>
      <c r="W943" s="515"/>
      <c r="X943" s="515"/>
      <c r="Y943" s="120"/>
      <c r="Z943" s="102"/>
      <c r="AA943" s="57"/>
      <c r="AB943" s="22"/>
      <c r="AC943" s="22"/>
      <c r="AD943" s="22"/>
    </row>
    <row r="944" spans="1:30" s="20" customFormat="1" ht="76.5" hidden="1" x14ac:dyDescent="0.2">
      <c r="A944" s="335">
        <f t="shared" si="317"/>
        <v>777</v>
      </c>
      <c r="B944" s="366" t="s">
        <v>206</v>
      </c>
      <c r="C944" s="386" t="s">
        <v>92</v>
      </c>
      <c r="D944" s="254" t="s">
        <v>354</v>
      </c>
      <c r="E944" s="254">
        <v>63.404000000000003</v>
      </c>
      <c r="F944" s="254">
        <v>1</v>
      </c>
      <c r="G944" s="254">
        <f t="shared" si="312"/>
        <v>63.4</v>
      </c>
      <c r="H944" s="254"/>
      <c r="I944" s="299">
        <v>234.64</v>
      </c>
      <c r="J944" s="300">
        <v>1.9442999999999999</v>
      </c>
      <c r="K944" s="299">
        <f t="shared" si="315"/>
        <v>456.21</v>
      </c>
      <c r="L944" s="301">
        <f t="shared" si="316"/>
        <v>28923.71</v>
      </c>
      <c r="M944" s="154">
        <f t="shared" si="313"/>
        <v>5784.74</v>
      </c>
      <c r="N944" s="250">
        <f t="shared" si="314"/>
        <v>34708.449999999997</v>
      </c>
      <c r="O944" s="515"/>
      <c r="P944" s="515"/>
      <c r="Q944" s="515"/>
      <c r="R944" s="515"/>
      <c r="S944" s="515"/>
      <c r="T944" s="515"/>
      <c r="U944" s="515"/>
      <c r="V944" s="515"/>
      <c r="W944" s="515"/>
      <c r="X944" s="515"/>
      <c r="Y944" s="120"/>
      <c r="Z944" s="102"/>
      <c r="AA944" s="57"/>
      <c r="AB944" s="22"/>
      <c r="AC944" s="22"/>
      <c r="AD944" s="22"/>
    </row>
    <row r="945" spans="1:30" s="20" customFormat="1" ht="76.5" hidden="1" x14ac:dyDescent="0.2">
      <c r="A945" s="335">
        <f t="shared" si="317"/>
        <v>778</v>
      </c>
      <c r="B945" s="366" t="s">
        <v>187</v>
      </c>
      <c r="C945" s="386" t="s">
        <v>93</v>
      </c>
      <c r="D945" s="254" t="s">
        <v>354</v>
      </c>
      <c r="E945" s="254">
        <v>610.9</v>
      </c>
      <c r="F945" s="254">
        <v>1</v>
      </c>
      <c r="G945" s="254">
        <f t="shared" si="312"/>
        <v>610.9</v>
      </c>
      <c r="H945" s="254"/>
      <c r="I945" s="299">
        <v>238.67</v>
      </c>
      <c r="J945" s="300">
        <v>1.9442999999999999</v>
      </c>
      <c r="K945" s="299">
        <f t="shared" si="315"/>
        <v>464.05</v>
      </c>
      <c r="L945" s="301">
        <f t="shared" si="316"/>
        <v>283488.15000000002</v>
      </c>
      <c r="M945" s="154">
        <f t="shared" si="313"/>
        <v>56697.63</v>
      </c>
      <c r="N945" s="250">
        <f t="shared" si="314"/>
        <v>340185.78</v>
      </c>
      <c r="O945" s="515"/>
      <c r="P945" s="515"/>
      <c r="Q945" s="515"/>
      <c r="R945" s="515"/>
      <c r="S945" s="515"/>
      <c r="T945" s="515"/>
      <c r="U945" s="515"/>
      <c r="V945" s="515"/>
      <c r="W945" s="515"/>
      <c r="X945" s="515"/>
      <c r="Y945" s="120"/>
      <c r="Z945" s="102"/>
      <c r="AA945" s="57"/>
      <c r="AB945" s="22"/>
      <c r="AC945" s="22"/>
      <c r="AD945" s="22"/>
    </row>
    <row r="946" spans="1:30" s="20" customFormat="1" ht="76.5" hidden="1" x14ac:dyDescent="0.2">
      <c r="A946" s="335">
        <f t="shared" si="317"/>
        <v>779</v>
      </c>
      <c r="B946" s="366" t="s">
        <v>188</v>
      </c>
      <c r="C946" s="386" t="s">
        <v>94</v>
      </c>
      <c r="D946" s="254" t="s">
        <v>422</v>
      </c>
      <c r="E946" s="254">
        <v>316</v>
      </c>
      <c r="F946" s="254">
        <v>1</v>
      </c>
      <c r="G946" s="254">
        <f t="shared" si="312"/>
        <v>316</v>
      </c>
      <c r="H946" s="254"/>
      <c r="I946" s="299">
        <v>6.22</v>
      </c>
      <c r="J946" s="300">
        <v>1.9442999999999999</v>
      </c>
      <c r="K946" s="299">
        <f t="shared" si="315"/>
        <v>12.09</v>
      </c>
      <c r="L946" s="301">
        <f t="shared" si="316"/>
        <v>3820.44</v>
      </c>
      <c r="M946" s="154">
        <f t="shared" si="313"/>
        <v>764.09</v>
      </c>
      <c r="N946" s="250">
        <f t="shared" si="314"/>
        <v>4584.53</v>
      </c>
      <c r="O946" s="515"/>
      <c r="P946" s="515"/>
      <c r="Q946" s="515"/>
      <c r="R946" s="515"/>
      <c r="S946" s="515"/>
      <c r="T946" s="515"/>
      <c r="U946" s="515"/>
      <c r="V946" s="515"/>
      <c r="W946" s="515"/>
      <c r="X946" s="515"/>
      <c r="Y946" s="120"/>
      <c r="Z946" s="102"/>
      <c r="AA946" s="57"/>
      <c r="AB946" s="22"/>
      <c r="AC946" s="22"/>
      <c r="AD946" s="22"/>
    </row>
    <row r="947" spans="1:30" s="20" customFormat="1" ht="51" hidden="1" x14ac:dyDescent="0.2">
      <c r="A947" s="335">
        <f t="shared" si="317"/>
        <v>780</v>
      </c>
      <c r="B947" s="366" t="s">
        <v>482</v>
      </c>
      <c r="C947" s="366" t="s">
        <v>483</v>
      </c>
      <c r="D947" s="254" t="s">
        <v>422</v>
      </c>
      <c r="E947" s="254">
        <v>100</v>
      </c>
      <c r="F947" s="254">
        <v>1</v>
      </c>
      <c r="G947" s="254">
        <f t="shared" si="312"/>
        <v>100</v>
      </c>
      <c r="H947" s="254"/>
      <c r="I947" s="299">
        <v>134.49</v>
      </c>
      <c r="J947" s="300">
        <v>1.9442999999999999</v>
      </c>
      <c r="K947" s="299">
        <f t="shared" si="315"/>
        <v>261.49</v>
      </c>
      <c r="L947" s="301">
        <f t="shared" si="316"/>
        <v>26149</v>
      </c>
      <c r="M947" s="154">
        <f t="shared" si="313"/>
        <v>5229.8</v>
      </c>
      <c r="N947" s="250">
        <f t="shared" si="314"/>
        <v>31378.799999999999</v>
      </c>
      <c r="O947" s="515"/>
      <c r="P947" s="515"/>
      <c r="Q947" s="515"/>
      <c r="R947" s="515"/>
      <c r="S947" s="515"/>
      <c r="T947" s="515"/>
      <c r="U947" s="515"/>
      <c r="V947" s="515"/>
      <c r="W947" s="515"/>
      <c r="X947" s="515"/>
      <c r="Y947" s="120"/>
      <c r="Z947" s="102"/>
      <c r="AA947" s="57"/>
      <c r="AB947" s="22"/>
      <c r="AC947" s="22"/>
      <c r="AD947" s="22"/>
    </row>
    <row r="948" spans="1:30" s="20" customFormat="1" ht="76.5" hidden="1" x14ac:dyDescent="0.2">
      <c r="A948" s="335">
        <f t="shared" si="317"/>
        <v>781</v>
      </c>
      <c r="B948" s="366" t="s">
        <v>170</v>
      </c>
      <c r="C948" s="386" t="s">
        <v>171</v>
      </c>
      <c r="D948" s="254" t="s">
        <v>422</v>
      </c>
      <c r="E948" s="254">
        <v>350</v>
      </c>
      <c r="F948" s="254">
        <v>3</v>
      </c>
      <c r="G948" s="254">
        <f t="shared" si="312"/>
        <v>1050</v>
      </c>
      <c r="H948" s="254"/>
      <c r="I948" s="299">
        <v>12.79</v>
      </c>
      <c r="J948" s="300">
        <v>1.9442999999999999</v>
      </c>
      <c r="K948" s="299">
        <f t="shared" si="315"/>
        <v>24.87</v>
      </c>
      <c r="L948" s="301">
        <f t="shared" si="316"/>
        <v>26113.5</v>
      </c>
      <c r="M948" s="154">
        <f t="shared" si="313"/>
        <v>5222.7</v>
      </c>
      <c r="N948" s="250">
        <f t="shared" si="314"/>
        <v>31336.2</v>
      </c>
      <c r="O948" s="515"/>
      <c r="P948" s="515"/>
      <c r="Q948" s="515"/>
      <c r="R948" s="515"/>
      <c r="S948" s="515"/>
      <c r="T948" s="515"/>
      <c r="U948" s="515"/>
      <c r="V948" s="515"/>
      <c r="W948" s="515"/>
      <c r="X948" s="515"/>
      <c r="Y948" s="120"/>
      <c r="Z948" s="102"/>
      <c r="AA948" s="57"/>
      <c r="AB948" s="22"/>
      <c r="AC948" s="22"/>
      <c r="AD948" s="22"/>
    </row>
    <row r="949" spans="1:30" s="20" customFormat="1" ht="51" hidden="1" x14ac:dyDescent="0.2">
      <c r="A949" s="335">
        <f t="shared" si="317"/>
        <v>782</v>
      </c>
      <c r="B949" s="366" t="s">
        <v>484</v>
      </c>
      <c r="C949" s="392" t="s">
        <v>485</v>
      </c>
      <c r="D949" s="254" t="s">
        <v>422</v>
      </c>
      <c r="E949" s="254">
        <v>375</v>
      </c>
      <c r="F949" s="254">
        <v>1</v>
      </c>
      <c r="G949" s="254">
        <f t="shared" si="312"/>
        <v>375</v>
      </c>
      <c r="H949" s="254"/>
      <c r="I949" s="299">
        <v>10.81</v>
      </c>
      <c r="J949" s="300">
        <v>1.9442999999999999</v>
      </c>
      <c r="K949" s="299">
        <f t="shared" si="315"/>
        <v>21.02</v>
      </c>
      <c r="L949" s="301">
        <f t="shared" si="316"/>
        <v>7882.5</v>
      </c>
      <c r="M949" s="154">
        <f t="shared" si="313"/>
        <v>1576.5</v>
      </c>
      <c r="N949" s="250">
        <f t="shared" si="314"/>
        <v>9459</v>
      </c>
      <c r="O949" s="515"/>
      <c r="P949" s="515"/>
      <c r="Q949" s="515"/>
      <c r="R949" s="515"/>
      <c r="S949" s="515"/>
      <c r="T949" s="515"/>
      <c r="U949" s="515"/>
      <c r="V949" s="515"/>
      <c r="W949" s="515"/>
      <c r="X949" s="515"/>
      <c r="Y949" s="120"/>
      <c r="Z949" s="102"/>
      <c r="AA949" s="57"/>
      <c r="AB949" s="22"/>
      <c r="AC949" s="22"/>
      <c r="AD949" s="22"/>
    </row>
    <row r="950" spans="1:30" s="20" customFormat="1" ht="51" hidden="1" x14ac:dyDescent="0.2">
      <c r="A950" s="335">
        <f t="shared" si="317"/>
        <v>783</v>
      </c>
      <c r="B950" s="370" t="s">
        <v>486</v>
      </c>
      <c r="C950" s="366" t="s">
        <v>487</v>
      </c>
      <c r="D950" s="254" t="s">
        <v>422</v>
      </c>
      <c r="E950" s="254">
        <v>375</v>
      </c>
      <c r="F950" s="254">
        <v>1</v>
      </c>
      <c r="G950" s="254">
        <f t="shared" si="312"/>
        <v>375</v>
      </c>
      <c r="H950" s="254"/>
      <c r="I950" s="299">
        <v>8.8800000000000008</v>
      </c>
      <c r="J950" s="300">
        <v>1.9442999999999999</v>
      </c>
      <c r="K950" s="299">
        <f t="shared" si="315"/>
        <v>17.27</v>
      </c>
      <c r="L950" s="301">
        <f t="shared" si="316"/>
        <v>6476.25</v>
      </c>
      <c r="M950" s="154">
        <f t="shared" si="313"/>
        <v>1295.25</v>
      </c>
      <c r="N950" s="250">
        <f t="shared" si="314"/>
        <v>7771.5</v>
      </c>
      <c r="O950" s="515"/>
      <c r="P950" s="515"/>
      <c r="Q950" s="515"/>
      <c r="R950" s="515"/>
      <c r="S950" s="515"/>
      <c r="T950" s="515"/>
      <c r="U950" s="515"/>
      <c r="V950" s="515"/>
      <c r="W950" s="515"/>
      <c r="X950" s="515"/>
      <c r="Y950" s="120"/>
      <c r="Z950" s="102"/>
      <c r="AA950" s="57"/>
      <c r="AB950" s="22"/>
      <c r="AC950" s="22"/>
      <c r="AD950" s="22"/>
    </row>
    <row r="951" spans="1:30" s="20" customFormat="1" ht="51" hidden="1" x14ac:dyDescent="0.2">
      <c r="A951" s="335">
        <f t="shared" si="317"/>
        <v>784</v>
      </c>
      <c r="B951" s="366" t="s">
        <v>488</v>
      </c>
      <c r="C951" s="366" t="s">
        <v>489</v>
      </c>
      <c r="D951" s="254" t="s">
        <v>433</v>
      </c>
      <c r="E951" s="254">
        <v>122</v>
      </c>
      <c r="F951" s="254">
        <v>2</v>
      </c>
      <c r="G951" s="254">
        <f t="shared" si="312"/>
        <v>244</v>
      </c>
      <c r="H951" s="254"/>
      <c r="I951" s="299">
        <v>1.99</v>
      </c>
      <c r="J951" s="300">
        <v>1.9442999999999999</v>
      </c>
      <c r="K951" s="299">
        <f t="shared" si="315"/>
        <v>3.87</v>
      </c>
      <c r="L951" s="301">
        <f t="shared" si="316"/>
        <v>944.28</v>
      </c>
      <c r="M951" s="154">
        <f t="shared" si="313"/>
        <v>188.86</v>
      </c>
      <c r="N951" s="250">
        <f t="shared" si="314"/>
        <v>1133.1399999999999</v>
      </c>
      <c r="O951" s="515"/>
      <c r="P951" s="515"/>
      <c r="Q951" s="515"/>
      <c r="R951" s="515"/>
      <c r="S951" s="515"/>
      <c r="T951" s="515"/>
      <c r="U951" s="515"/>
      <c r="V951" s="515"/>
      <c r="W951" s="515"/>
      <c r="X951" s="515"/>
      <c r="Y951" s="120"/>
      <c r="Z951" s="102"/>
      <c r="AA951" s="57"/>
      <c r="AB951" s="22"/>
      <c r="AC951" s="22"/>
      <c r="AD951" s="22"/>
    </row>
    <row r="952" spans="1:30" s="20" customFormat="1" ht="51" hidden="1" x14ac:dyDescent="0.2">
      <c r="A952" s="335">
        <f t="shared" si="317"/>
        <v>785</v>
      </c>
      <c r="B952" s="366" t="s">
        <v>490</v>
      </c>
      <c r="C952" s="366" t="s">
        <v>491</v>
      </c>
      <c r="D952" s="254" t="s">
        <v>433</v>
      </c>
      <c r="E952" s="254">
        <v>122</v>
      </c>
      <c r="F952" s="254">
        <v>2</v>
      </c>
      <c r="G952" s="254">
        <f t="shared" si="312"/>
        <v>244</v>
      </c>
      <c r="H952" s="254"/>
      <c r="I952" s="299">
        <v>4.8899999999999997</v>
      </c>
      <c r="J952" s="300">
        <v>1.9442999999999999</v>
      </c>
      <c r="K952" s="299">
        <f t="shared" si="315"/>
        <v>9.51</v>
      </c>
      <c r="L952" s="301">
        <f t="shared" si="316"/>
        <v>2320.44</v>
      </c>
      <c r="M952" s="154">
        <f t="shared" si="313"/>
        <v>464.09</v>
      </c>
      <c r="N952" s="250">
        <f t="shared" si="314"/>
        <v>2784.53</v>
      </c>
      <c r="O952" s="515"/>
      <c r="P952" s="515"/>
      <c r="Q952" s="515"/>
      <c r="R952" s="515"/>
      <c r="S952" s="515"/>
      <c r="T952" s="515"/>
      <c r="U952" s="515"/>
      <c r="V952" s="515"/>
      <c r="W952" s="515"/>
      <c r="X952" s="515"/>
      <c r="Y952" s="120"/>
      <c r="Z952" s="102"/>
      <c r="AA952" s="57"/>
      <c r="AB952" s="22"/>
      <c r="AC952" s="22"/>
      <c r="AD952" s="22"/>
    </row>
    <row r="953" spans="1:30" s="20" customFormat="1" ht="63.75" hidden="1" x14ac:dyDescent="0.2">
      <c r="A953" s="335">
        <f t="shared" si="317"/>
        <v>786</v>
      </c>
      <c r="B953" s="220" t="s">
        <v>480</v>
      </c>
      <c r="C953" s="393" t="s">
        <v>512</v>
      </c>
      <c r="D953" s="254" t="s">
        <v>507</v>
      </c>
      <c r="E953" s="254">
        <v>8</v>
      </c>
      <c r="F953" s="254">
        <v>3</v>
      </c>
      <c r="G953" s="254">
        <f t="shared" si="312"/>
        <v>24</v>
      </c>
      <c r="H953" s="254"/>
      <c r="I953" s="299">
        <v>4248.72</v>
      </c>
      <c r="J953" s="300">
        <v>1.9442999999999999</v>
      </c>
      <c r="K953" s="299">
        <f t="shared" si="315"/>
        <v>8260.7900000000009</v>
      </c>
      <c r="L953" s="301">
        <f t="shared" si="316"/>
        <v>198258.96</v>
      </c>
      <c r="M953" s="154">
        <f t="shared" si="313"/>
        <v>39651.79</v>
      </c>
      <c r="N953" s="250">
        <f>ROUND(L953+M953,2)</f>
        <v>237910.75</v>
      </c>
      <c r="O953" s="515"/>
      <c r="P953" s="515"/>
      <c r="Q953" s="515"/>
      <c r="R953" s="515"/>
      <c r="S953" s="515"/>
      <c r="T953" s="515"/>
      <c r="U953" s="515"/>
      <c r="V953" s="515"/>
      <c r="W953" s="515"/>
      <c r="X953" s="515"/>
      <c r="Y953" s="120"/>
      <c r="Z953" s="102"/>
      <c r="AA953" s="57"/>
      <c r="AB953" s="22"/>
      <c r="AC953" s="22"/>
      <c r="AD953" s="22"/>
    </row>
    <row r="954" spans="1:30" s="20" customFormat="1" ht="38.25" hidden="1" x14ac:dyDescent="0.2">
      <c r="A954" s="335">
        <f t="shared" si="317"/>
        <v>787</v>
      </c>
      <c r="B954" s="236" t="s">
        <v>480</v>
      </c>
      <c r="C954" s="366" t="s">
        <v>523</v>
      </c>
      <c r="D954" s="254" t="s">
        <v>507</v>
      </c>
      <c r="E954" s="254">
        <v>1</v>
      </c>
      <c r="F954" s="254">
        <v>92</v>
      </c>
      <c r="G954" s="254">
        <f t="shared" si="312"/>
        <v>92</v>
      </c>
      <c r="H954" s="254"/>
      <c r="I954" s="299">
        <v>535.76</v>
      </c>
      <c r="J954" s="308">
        <v>1</v>
      </c>
      <c r="K954" s="299">
        <f t="shared" si="315"/>
        <v>535.76</v>
      </c>
      <c r="L954" s="301">
        <f t="shared" si="316"/>
        <v>49289.919999999998</v>
      </c>
      <c r="M954" s="154">
        <f t="shared" si="313"/>
        <v>9857.98</v>
      </c>
      <c r="N954" s="250">
        <f>ROUND(L954+M954,2)</f>
        <v>59147.9</v>
      </c>
      <c r="O954" s="515"/>
      <c r="P954" s="515"/>
      <c r="Q954" s="515"/>
      <c r="R954" s="515"/>
      <c r="S954" s="515"/>
      <c r="T954" s="515"/>
      <c r="U954" s="515"/>
      <c r="V954" s="515"/>
      <c r="W954" s="515"/>
      <c r="X954" s="515"/>
      <c r="Y954" s="120"/>
      <c r="Z954" s="102"/>
      <c r="AA954" s="57"/>
      <c r="AB954" s="22"/>
      <c r="AC954" s="22"/>
      <c r="AD954" s="22"/>
    </row>
    <row r="955" spans="1:30" s="20" customFormat="1" ht="12.75" hidden="1" x14ac:dyDescent="0.2">
      <c r="A955" s="335"/>
      <c r="B955" s="236"/>
      <c r="C955" s="366"/>
      <c r="D955" s="254"/>
      <c r="E955" s="254"/>
      <c r="F955" s="254"/>
      <c r="G955" s="254"/>
      <c r="H955" s="254"/>
      <c r="I955" s="299"/>
      <c r="J955" s="308"/>
      <c r="K955" s="299"/>
      <c r="L955" s="301"/>
      <c r="M955" s="154"/>
      <c r="N955" s="250"/>
      <c r="O955" s="550">
        <v>3801074.3599999994</v>
      </c>
      <c r="P955" s="515"/>
      <c r="Q955" s="515"/>
      <c r="R955" s="515"/>
      <c r="S955" s="515"/>
      <c r="T955" s="515"/>
      <c r="U955" s="515"/>
      <c r="V955" s="515"/>
      <c r="W955" s="515"/>
      <c r="X955" s="515"/>
      <c r="Y955" s="120"/>
      <c r="Z955" s="102"/>
      <c r="AA955" s="57"/>
      <c r="AB955" s="22"/>
      <c r="AC955" s="22"/>
      <c r="AD955" s="22"/>
    </row>
    <row r="956" spans="1:30" s="20" customFormat="1" ht="24" hidden="1" customHeight="1" x14ac:dyDescent="0.2">
      <c r="A956" s="394"/>
      <c r="B956" s="245"/>
      <c r="C956" s="59" t="s">
        <v>454</v>
      </c>
      <c r="D956" s="290"/>
      <c r="E956" s="381"/>
      <c r="F956" s="380"/>
      <c r="G956" s="395"/>
      <c r="H956" s="290"/>
      <c r="I956" s="290"/>
      <c r="J956" s="381"/>
      <c r="K956" s="381"/>
      <c r="L956" s="273">
        <f>SUM(L892:L954)+0.01</f>
        <v>6407434.9200000009</v>
      </c>
      <c r="M956" s="197">
        <f>ROUND(L956*0.2,2)</f>
        <v>1281486.98</v>
      </c>
      <c r="N956" s="167">
        <f>L956+M956</f>
        <v>7688921.9000000004</v>
      </c>
      <c r="O956" s="522"/>
      <c r="P956" s="522"/>
      <c r="Q956" s="522"/>
      <c r="R956" s="522"/>
      <c r="S956" s="522"/>
      <c r="T956" s="522"/>
      <c r="U956" s="522"/>
      <c r="V956" s="522"/>
      <c r="W956" s="522"/>
      <c r="X956" s="522"/>
      <c r="Y956" s="120"/>
      <c r="Z956" s="102"/>
      <c r="AA956" s="57"/>
      <c r="AB956" s="22"/>
      <c r="AC956" s="22"/>
      <c r="AD956" s="22"/>
    </row>
    <row r="957" spans="1:30" s="20" customFormat="1" ht="25.5" hidden="1" x14ac:dyDescent="0.2">
      <c r="A957" s="396"/>
      <c r="B957" s="397"/>
      <c r="C957" s="59" t="s">
        <v>543</v>
      </c>
      <c r="D957" s="290"/>
      <c r="E957" s="398"/>
      <c r="F957" s="287"/>
      <c r="G957" s="288"/>
      <c r="H957" s="288"/>
      <c r="I957" s="288"/>
      <c r="J957" s="395"/>
      <c r="K957" s="395"/>
      <c r="L957" s="178">
        <f>L226+L338+L544+L626+L704+L888+L956</f>
        <v>70206765.555000007</v>
      </c>
      <c r="M957" s="197">
        <f>ROUND(L957*0.2,2)</f>
        <v>14041353.109999999</v>
      </c>
      <c r="N957" s="251">
        <f>L957+M957</f>
        <v>84248118.665000007</v>
      </c>
      <c r="O957" s="189"/>
      <c r="P957" s="189"/>
      <c r="Q957" s="189"/>
      <c r="R957" s="189"/>
      <c r="S957" s="189"/>
      <c r="T957" s="189"/>
      <c r="U957" s="189"/>
      <c r="V957" s="189"/>
      <c r="W957" s="189"/>
      <c r="X957" s="189"/>
      <c r="Y957" s="252">
        <v>84662205</v>
      </c>
      <c r="Z957" s="102"/>
      <c r="AA957" s="57"/>
      <c r="AB957" s="22"/>
      <c r="AC957" s="22"/>
      <c r="AD957" s="22"/>
    </row>
    <row r="958" spans="1:30" s="20" customFormat="1" ht="12.75" x14ac:dyDescent="0.2">
      <c r="A958" s="208"/>
      <c r="B958" s="209"/>
      <c r="C958" s="210"/>
      <c r="D958" s="210"/>
      <c r="E958" s="210"/>
      <c r="F958" s="210"/>
      <c r="G958" s="210"/>
      <c r="H958" s="210"/>
      <c r="I958" s="210"/>
      <c r="J958" s="210"/>
      <c r="K958" s="210"/>
      <c r="L958" s="211"/>
      <c r="M958" s="178"/>
      <c r="N958" s="178"/>
      <c r="O958" s="523"/>
      <c r="P958" s="523"/>
      <c r="Q958" s="523"/>
      <c r="R958" s="523"/>
      <c r="S958" s="523"/>
      <c r="T958" s="523"/>
      <c r="U958" s="523"/>
      <c r="V958" s="523"/>
      <c r="W958" s="523"/>
      <c r="X958" s="523"/>
      <c r="Y958" s="139">
        <f>N226+N338+N544+N626+N704+N888+N956</f>
        <v>84248118.666000009</v>
      </c>
      <c r="Z958" s="102"/>
      <c r="AA958" s="57"/>
      <c r="AB958" s="22"/>
      <c r="AC958" s="22"/>
      <c r="AD958" s="22"/>
    </row>
    <row r="959" spans="1:30" s="43" customFormat="1" ht="15" x14ac:dyDescent="0.2">
      <c r="A959" s="204"/>
      <c r="B959" s="20"/>
      <c r="C959" s="22"/>
      <c r="D959" s="185"/>
      <c r="E959" s="205"/>
      <c r="F959" s="216"/>
      <c r="G959" s="193"/>
      <c r="H959" s="193"/>
      <c r="I959" s="193"/>
      <c r="J959" s="187"/>
      <c r="K959" s="187"/>
      <c r="L959" s="193"/>
      <c r="M959" s="193">
        <f>L957*0.2</f>
        <v>14041353.111000001</v>
      </c>
      <c r="N959" s="193"/>
      <c r="O959" s="193"/>
      <c r="P959" s="193"/>
      <c r="Q959" s="193"/>
      <c r="R959" s="193"/>
      <c r="S959" s="193"/>
      <c r="T959" s="193"/>
      <c r="U959" s="193"/>
      <c r="V959" s="193"/>
      <c r="W959" s="193"/>
      <c r="X959" s="193"/>
      <c r="Y959" s="126"/>
      <c r="Z959" s="102">
        <v>3804316.3</v>
      </c>
      <c r="AA959" s="88">
        <v>1014840.89</v>
      </c>
      <c r="AC959" s="89"/>
      <c r="AD959" s="90"/>
    </row>
    <row r="960" spans="1:30" s="20" customFormat="1" ht="15" x14ac:dyDescent="0.2">
      <c r="A960" s="204"/>
      <c r="C960" s="22"/>
      <c r="D960" s="185"/>
      <c r="E960" s="205"/>
      <c r="F960" s="216"/>
      <c r="G960" s="193"/>
      <c r="H960" s="193"/>
      <c r="I960" s="193"/>
      <c r="J960" s="187"/>
      <c r="K960" s="187"/>
      <c r="L960" s="193"/>
      <c r="M960" s="193"/>
      <c r="N960" s="193"/>
      <c r="O960" s="193"/>
      <c r="P960" s="193"/>
      <c r="Q960" s="193"/>
      <c r="R960" s="193"/>
      <c r="S960" s="193"/>
      <c r="T960" s="193"/>
      <c r="U960" s="193"/>
      <c r="V960" s="193"/>
      <c r="W960" s="193"/>
      <c r="X960" s="193"/>
      <c r="Y960" s="4"/>
      <c r="Z960" s="109">
        <v>42126734.686652869</v>
      </c>
      <c r="AA960" s="18">
        <v>162089491.24171427</v>
      </c>
      <c r="AB960" s="22"/>
      <c r="AC960" s="22"/>
      <c r="AD960" s="22"/>
    </row>
    <row r="961" spans="1:26" ht="15" x14ac:dyDescent="0.2">
      <c r="A961" s="204"/>
      <c r="L961" s="193">
        <f>70405383.95*0.2</f>
        <v>14081076.790000001</v>
      </c>
      <c r="Z961" s="108"/>
    </row>
    <row r="962" spans="1:26" x14ac:dyDescent="0.2">
      <c r="Z962" s="4">
        <f>Z961-N957</f>
        <v>-84248118.665000007</v>
      </c>
    </row>
  </sheetData>
  <mergeCells count="16">
    <mergeCell ref="M5:M7"/>
    <mergeCell ref="N5:N7"/>
    <mergeCell ref="H2:N2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L5:L7"/>
    <mergeCell ref="I5:I7"/>
    <mergeCell ref="J5:J7"/>
    <mergeCell ref="K5:K7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2023 до июля</vt:lpstr>
      <vt:lpstr>2022 год</vt:lpstr>
      <vt:lpstr>'2022 год'!Заголовки_для_печати</vt:lpstr>
      <vt:lpstr>'2023 до июля'!Заголовки_для_печати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Manuilova</dc:creator>
  <cp:lastModifiedBy>Пользователь Windows</cp:lastModifiedBy>
  <cp:lastPrinted>2023-02-27T08:04:28Z</cp:lastPrinted>
  <dcterms:created xsi:type="dcterms:W3CDTF">2013-10-30T05:24:08Z</dcterms:created>
  <dcterms:modified xsi:type="dcterms:W3CDTF">2023-03-14T10:57:06Z</dcterms:modified>
</cp:coreProperties>
</file>